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/>
  <mc:AlternateContent xmlns:mc="http://schemas.openxmlformats.org/markup-compatibility/2006">
    <mc:Choice Requires="x15">
      <x15ac:absPath xmlns:x15ac="http://schemas.microsoft.com/office/spreadsheetml/2010/11/ac" url="C:\EX-D-Drive\Private\A matter\LCR\"/>
    </mc:Choice>
  </mc:AlternateContent>
  <xr:revisionPtr revIDLastSave="0" documentId="13_ncr:1_{80661E04-745E-4001-9D14-B4FFE0DB1B5B}" xr6:coauthVersionLast="47" xr6:coauthVersionMax="47" xr10:uidLastSave="{00000000-0000-0000-0000-000000000000}"/>
  <bookViews>
    <workbookView xWindow="8085" yWindow="30" windowWidth="17400" windowHeight="12555" tabRatio="786" activeTab="1" xr2:uid="{00000000-000D-0000-FFFF-FFFF00000000}"/>
  </bookViews>
  <sheets>
    <sheet name="RIAA 理想特性" sheetId="72" r:id="rId1"/>
    <sheet name="RIAA コイル抵抗考慮" sheetId="106" r:id="rId2"/>
    <sheet name="RIAA 追込み特性1.72" sheetId="73" r:id="rId3"/>
    <sheet name="Sheet2" sheetId="107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P18" i="106" l="1" a="1"/>
  <c r="FP18" i="106" s="1"/>
  <c r="HX26" i="73"/>
  <c r="HZ26" i="73"/>
  <c r="HV23" i="72"/>
  <c r="HV26" i="72"/>
  <c r="AJ43" i="106"/>
  <c r="FP21" i="106"/>
  <c r="FP19" i="106"/>
  <c r="C10" i="107"/>
  <c r="C4" i="107"/>
  <c r="FP20" i="106" l="1"/>
  <c r="FP13" i="106"/>
  <c r="FP11" i="106"/>
  <c r="HS86" i="106"/>
  <c r="FU86" i="106"/>
  <c r="HS85" i="106"/>
  <c r="FU85" i="106"/>
  <c r="HS84" i="106"/>
  <c r="FU84" i="106"/>
  <c r="HS83" i="106"/>
  <c r="FU83" i="106"/>
  <c r="HS82" i="106"/>
  <c r="FU82" i="106"/>
  <c r="HS81" i="106"/>
  <c r="FU81" i="106"/>
  <c r="HS80" i="106"/>
  <c r="FU80" i="106"/>
  <c r="HS79" i="106"/>
  <c r="FU79" i="106"/>
  <c r="HS78" i="106"/>
  <c r="FU78" i="106"/>
  <c r="HS77" i="106"/>
  <c r="FU77" i="106"/>
  <c r="HS76" i="106"/>
  <c r="FU76" i="106"/>
  <c r="HS75" i="106"/>
  <c r="FU75" i="106"/>
  <c r="HS74" i="106"/>
  <c r="FU74" i="106"/>
  <c r="HS73" i="106"/>
  <c r="FU73" i="106"/>
  <c r="HS72" i="106"/>
  <c r="HW72" i="106" s="1"/>
  <c r="FU72" i="106"/>
  <c r="HS71" i="106"/>
  <c r="FU71" i="106"/>
  <c r="HS70" i="106"/>
  <c r="HW70" i="106" s="1"/>
  <c r="FU70" i="106"/>
  <c r="HS69" i="106"/>
  <c r="FU69" i="106"/>
  <c r="HS68" i="106"/>
  <c r="FU68" i="106"/>
  <c r="HS67" i="106"/>
  <c r="FU67" i="106"/>
  <c r="HS66" i="106"/>
  <c r="FU66" i="106"/>
  <c r="HS65" i="106"/>
  <c r="FU65" i="106"/>
  <c r="HS64" i="106"/>
  <c r="FU64" i="106"/>
  <c r="HS63" i="106"/>
  <c r="FU63" i="106"/>
  <c r="HS62" i="106"/>
  <c r="FU62" i="106"/>
  <c r="HW61" i="106"/>
  <c r="HS61" i="106"/>
  <c r="FU61" i="106"/>
  <c r="HS60" i="106"/>
  <c r="FU60" i="106"/>
  <c r="HS59" i="106"/>
  <c r="HW59" i="106" s="1"/>
  <c r="FU59" i="106"/>
  <c r="HS58" i="106"/>
  <c r="FU58" i="106"/>
  <c r="HS57" i="106"/>
  <c r="FU57" i="106"/>
  <c r="HS56" i="106"/>
  <c r="FU56" i="106"/>
  <c r="HW55" i="106"/>
  <c r="HS55" i="106"/>
  <c r="FU55" i="106"/>
  <c r="HS54" i="106"/>
  <c r="FU54" i="106"/>
  <c r="HS53" i="106"/>
  <c r="FU53" i="106"/>
  <c r="HS52" i="106"/>
  <c r="FU52" i="106"/>
  <c r="HS51" i="106"/>
  <c r="HW51" i="106" s="1"/>
  <c r="FU51" i="106"/>
  <c r="HS50" i="106"/>
  <c r="HW50" i="106" s="1"/>
  <c r="FU50" i="106"/>
  <c r="HS49" i="106"/>
  <c r="HW49" i="106" s="1"/>
  <c r="FU49" i="106"/>
  <c r="HS48" i="106"/>
  <c r="FU48" i="106"/>
  <c r="HS47" i="106"/>
  <c r="FU47" i="106"/>
  <c r="AP47" i="106"/>
  <c r="HS46" i="106"/>
  <c r="FU46" i="106"/>
  <c r="AP46" i="106"/>
  <c r="HS45" i="106"/>
  <c r="FU45" i="106"/>
  <c r="AP45" i="106"/>
  <c r="HS44" i="106"/>
  <c r="FU44" i="106"/>
  <c r="HS43" i="106"/>
  <c r="FU43" i="106"/>
  <c r="HS42" i="106"/>
  <c r="FU42" i="106"/>
  <c r="AJ42" i="106"/>
  <c r="HW41" i="106"/>
  <c r="HS41" i="106"/>
  <c r="HQ41" i="106"/>
  <c r="FT41" i="106"/>
  <c r="FU41" i="106" s="1"/>
  <c r="HS40" i="106"/>
  <c r="HW40" i="106" s="1"/>
  <c r="FU40" i="106"/>
  <c r="AP40" i="106"/>
  <c r="BU41" i="106" s="1"/>
  <c r="HS39" i="106"/>
  <c r="FU39" i="106"/>
  <c r="HS38" i="106"/>
  <c r="FU38" i="106"/>
  <c r="HS37" i="106"/>
  <c r="HW37" i="106" s="1"/>
  <c r="FU37" i="106"/>
  <c r="HS36" i="106"/>
  <c r="FU36" i="106"/>
  <c r="AJ36" i="106"/>
  <c r="HW35" i="106"/>
  <c r="HS35" i="106"/>
  <c r="FU35" i="106"/>
  <c r="GN35" i="106" s="1"/>
  <c r="AJ35" i="106"/>
  <c r="HS34" i="106"/>
  <c r="HW34" i="106" s="1"/>
  <c r="FU34" i="106"/>
  <c r="AJ34" i="106"/>
  <c r="HS33" i="106"/>
  <c r="HW33" i="106" s="1"/>
  <c r="FU33" i="106"/>
  <c r="GB33" i="106" s="1"/>
  <c r="AJ33" i="106"/>
  <c r="HS32" i="106"/>
  <c r="HW32" i="106" s="1"/>
  <c r="FU32" i="106"/>
  <c r="HS31" i="106"/>
  <c r="HW31" i="106" s="1"/>
  <c r="FU31" i="106"/>
  <c r="GF31" i="106" s="1"/>
  <c r="GL31" i="106" s="1"/>
  <c r="AJ31" i="106"/>
  <c r="HW30" i="106"/>
  <c r="HS30" i="106"/>
  <c r="FU30" i="106"/>
  <c r="HW29" i="106"/>
  <c r="HS29" i="106"/>
  <c r="GC29" i="106"/>
  <c r="GB29" i="106"/>
  <c r="FU29" i="106"/>
  <c r="HW28" i="106"/>
  <c r="HS28" i="106"/>
  <c r="FU28" i="106"/>
  <c r="GC28" i="106" s="1"/>
  <c r="HS27" i="106"/>
  <c r="HW27" i="106" s="1"/>
  <c r="FU27" i="106"/>
  <c r="HS26" i="106"/>
  <c r="HW26" i="106" s="1"/>
  <c r="FU26" i="106"/>
  <c r="FG26" i="106"/>
  <c r="HR24" i="106"/>
  <c r="HS24" i="106" s="1"/>
  <c r="HQ24" i="106"/>
  <c r="FP24" i="106"/>
  <c r="HW23" i="106"/>
  <c r="AJ40" i="106"/>
  <c r="FZ20" i="106"/>
  <c r="GC44" i="106"/>
  <c r="DO17" i="106"/>
  <c r="FZ13" i="106"/>
  <c r="AJ32" i="106" s="1"/>
  <c r="FZ11" i="106"/>
  <c r="AJ30" i="106"/>
  <c r="FP10" i="106"/>
  <c r="FQ9" i="106"/>
  <c r="FQ8" i="106"/>
  <c r="FQ7" i="106"/>
  <c r="I67" i="72"/>
  <c r="CG36" i="106" l="1"/>
  <c r="GD29" i="106"/>
  <c r="FW64" i="106"/>
  <c r="FV49" i="106"/>
  <c r="FW37" i="106"/>
  <c r="FY35" i="106"/>
  <c r="CK32" i="106"/>
  <c r="FR20" i="106"/>
  <c r="FZ18" i="106"/>
  <c r="AJ37" i="106" s="1"/>
  <c r="FZ73" i="106" s="1"/>
  <c r="GI73" i="106" s="1"/>
  <c r="AJ39" i="106"/>
  <c r="AP39" i="106" s="1"/>
  <c r="GE27" i="106"/>
  <c r="GF30" i="106"/>
  <c r="GL30" i="106" s="1"/>
  <c r="GC31" i="106"/>
  <c r="GB35" i="106"/>
  <c r="GN37" i="106"/>
  <c r="GB40" i="106"/>
  <c r="GB49" i="106"/>
  <c r="GN49" i="106"/>
  <c r="GF49" i="106"/>
  <c r="GL49" i="106" s="1"/>
  <c r="GE49" i="106"/>
  <c r="GC49" i="106"/>
  <c r="GE38" i="106"/>
  <c r="GO47" i="106"/>
  <c r="GC47" i="106"/>
  <c r="GE47" i="106"/>
  <c r="GN47" i="106"/>
  <c r="GF47" i="106"/>
  <c r="GL47" i="106" s="1"/>
  <c r="GC51" i="106"/>
  <c r="GE51" i="106"/>
  <c r="GB51" i="106"/>
  <c r="GF51" i="106"/>
  <c r="GL51" i="106" s="1"/>
  <c r="GO27" i="106"/>
  <c r="GC27" i="106"/>
  <c r="GF27" i="106"/>
  <c r="GL27" i="106" s="1"/>
  <c r="GE34" i="106"/>
  <c r="GN50" i="106"/>
  <c r="GN26" i="106"/>
  <c r="GB26" i="106"/>
  <c r="GE26" i="106"/>
  <c r="GO26" i="106"/>
  <c r="GC26" i="106"/>
  <c r="GE36" i="106"/>
  <c r="GN46" i="106"/>
  <c r="GO48" i="106"/>
  <c r="GF26" i="106"/>
  <c r="GL26" i="106" s="1"/>
  <c r="GN30" i="106"/>
  <c r="GF34" i="106"/>
  <c r="GL34" i="106" s="1"/>
  <c r="GN36" i="106"/>
  <c r="AJ38" i="106"/>
  <c r="GE43" i="106"/>
  <c r="GO43" i="106"/>
  <c r="GC43" i="106"/>
  <c r="GB43" i="106"/>
  <c r="GF43" i="106"/>
  <c r="GL43" i="106" s="1"/>
  <c r="GN51" i="106"/>
  <c r="GF28" i="106"/>
  <c r="GL28" i="106" s="1"/>
  <c r="GN28" i="106"/>
  <c r="GO28" i="106"/>
  <c r="GB28" i="106"/>
  <c r="GD28" i="106" s="1"/>
  <c r="GO72" i="106"/>
  <c r="GF66" i="106"/>
  <c r="GL66" i="106" s="1"/>
  <c r="GE58" i="106"/>
  <c r="GE57" i="106"/>
  <c r="GE56" i="106"/>
  <c r="GE55" i="106"/>
  <c r="GC74" i="106"/>
  <c r="GC72" i="106"/>
  <c r="GN71" i="106"/>
  <c r="GN69" i="106"/>
  <c r="GC78" i="106"/>
  <c r="GB72" i="106"/>
  <c r="GB78" i="106"/>
  <c r="GN66" i="106"/>
  <c r="GF58" i="106"/>
  <c r="GL58" i="106" s="1"/>
  <c r="GO56" i="106"/>
  <c r="GF55" i="106"/>
  <c r="GL55" i="106" s="1"/>
  <c r="GB58" i="106"/>
  <c r="GB55" i="106"/>
  <c r="GB66" i="106"/>
  <c r="GC57" i="106"/>
  <c r="GC84" i="106"/>
  <c r="GF72" i="106"/>
  <c r="GL72" i="106" s="1"/>
  <c r="GO71" i="106"/>
  <c r="GF69" i="106"/>
  <c r="GL69" i="106" s="1"/>
  <c r="GE69" i="106"/>
  <c r="GN57" i="106"/>
  <c r="GO74" i="106"/>
  <c r="GB71" i="106"/>
  <c r="GN72" i="106"/>
  <c r="GF57" i="106"/>
  <c r="GL57" i="106" s="1"/>
  <c r="GC56" i="106"/>
  <c r="GC55" i="106"/>
  <c r="GN63" i="106"/>
  <c r="GC58" i="106"/>
  <c r="GB57" i="106"/>
  <c r="GD57" i="106" s="1"/>
  <c r="GO85" i="106"/>
  <c r="GO69" i="106"/>
  <c r="GN56" i="106"/>
  <c r="GN55" i="106"/>
  <c r="GB53" i="106"/>
  <c r="GO58" i="106"/>
  <c r="GO57" i="106"/>
  <c r="GO52" i="106"/>
  <c r="GF71" i="106"/>
  <c r="GL71" i="106" s="1"/>
  <c r="GC69" i="106"/>
  <c r="GC66" i="106"/>
  <c r="GN58" i="106"/>
  <c r="GO70" i="106"/>
  <c r="GB56" i="106"/>
  <c r="GB54" i="106"/>
  <c r="GB44" i="106"/>
  <c r="GD44" i="106" s="1"/>
  <c r="GE70" i="106"/>
  <c r="GF48" i="106"/>
  <c r="GL48" i="106" s="1"/>
  <c r="GF46" i="106"/>
  <c r="GL46" i="106" s="1"/>
  <c r="GO44" i="106"/>
  <c r="GO66" i="106"/>
  <c r="GF65" i="106"/>
  <c r="GL65" i="106" s="1"/>
  <c r="GO55" i="106"/>
  <c r="GB48" i="106"/>
  <c r="GB46" i="106"/>
  <c r="GE62" i="106"/>
  <c r="GN48" i="106"/>
  <c r="GF44" i="106"/>
  <c r="GL44" i="106" s="1"/>
  <c r="GO84" i="106"/>
  <c r="GB62" i="106"/>
  <c r="GC81" i="106"/>
  <c r="GB69" i="106"/>
  <c r="GF56" i="106"/>
  <c r="GL56" i="106" s="1"/>
  <c r="GC50" i="106"/>
  <c r="GC48" i="106"/>
  <c r="GF29" i="106"/>
  <c r="GL29" i="106" s="1"/>
  <c r="GO46" i="106"/>
  <c r="GC36" i="106"/>
  <c r="GO29" i="106"/>
  <c r="GC80" i="106"/>
  <c r="GF53" i="106"/>
  <c r="GL53" i="106" s="1"/>
  <c r="GE48" i="106"/>
  <c r="GC46" i="106"/>
  <c r="GC38" i="106"/>
  <c r="GF50" i="106"/>
  <c r="GL50" i="106" s="1"/>
  <c r="GB38" i="106"/>
  <c r="GO33" i="106"/>
  <c r="GC33" i="106"/>
  <c r="GD33" i="106" s="1"/>
  <c r="GE33" i="106"/>
  <c r="GE28" i="106"/>
  <c r="GN27" i="106"/>
  <c r="GE30" i="106"/>
  <c r="GO30" i="106"/>
  <c r="GF33" i="106"/>
  <c r="GL33" i="106" s="1"/>
  <c r="GO36" i="106"/>
  <c r="GO51" i="106"/>
  <c r="GO64" i="106"/>
  <c r="GB64" i="106"/>
  <c r="GE64" i="106"/>
  <c r="GC64" i="106"/>
  <c r="GN64" i="106"/>
  <c r="GP64" i="106" s="1"/>
  <c r="GF64" i="106"/>
  <c r="GL64" i="106" s="1"/>
  <c r="GF82" i="106"/>
  <c r="GL82" i="106" s="1"/>
  <c r="GE82" i="106"/>
  <c r="GN82" i="106"/>
  <c r="GB82" i="106"/>
  <c r="GC82" i="106"/>
  <c r="GO82" i="106"/>
  <c r="GF35" i="106"/>
  <c r="GL35" i="106" s="1"/>
  <c r="GE35" i="106"/>
  <c r="GO35" i="106"/>
  <c r="GP35" i="106" s="1"/>
  <c r="GB37" i="106"/>
  <c r="GN38" i="106"/>
  <c r="GE39" i="106"/>
  <c r="GB70" i="106"/>
  <c r="GF39" i="106"/>
  <c r="GL39" i="106" s="1"/>
  <c r="GN41" i="106"/>
  <c r="GB41" i="106"/>
  <c r="GC41" i="106"/>
  <c r="GN44" i="106"/>
  <c r="GP44" i="106" s="1"/>
  <c r="GF60" i="106"/>
  <c r="GL60" i="106" s="1"/>
  <c r="GO62" i="106"/>
  <c r="GF32" i="106"/>
  <c r="GL32" i="106" s="1"/>
  <c r="GB27" i="106"/>
  <c r="GD27" i="106" s="1"/>
  <c r="GE29" i="106"/>
  <c r="GB30" i="106"/>
  <c r="GN32" i="106"/>
  <c r="GN33" i="106"/>
  <c r="GE41" i="106"/>
  <c r="GC42" i="106"/>
  <c r="GO45" i="106"/>
  <c r="GE46" i="106"/>
  <c r="GC30" i="106"/>
  <c r="GO34" i="106"/>
  <c r="GB34" i="106"/>
  <c r="GN34" i="106"/>
  <c r="GP34" i="106" s="1"/>
  <c r="GB36" i="106"/>
  <c r="GF41" i="106"/>
  <c r="GL41" i="106" s="1"/>
  <c r="GN53" i="106"/>
  <c r="GE68" i="106"/>
  <c r="GC71" i="106"/>
  <c r="GE31" i="106"/>
  <c r="GN31" i="106"/>
  <c r="GO31" i="106"/>
  <c r="GB31" i="106"/>
  <c r="GO38" i="106"/>
  <c r="GN43" i="106"/>
  <c r="GC35" i="106"/>
  <c r="GO37" i="106"/>
  <c r="GC40" i="106"/>
  <c r="GE44" i="106"/>
  <c r="GN59" i="106"/>
  <c r="GB59" i="106"/>
  <c r="GD59" i="106" s="1"/>
  <c r="GF59" i="106"/>
  <c r="GL59" i="106" s="1"/>
  <c r="GC59" i="106"/>
  <c r="GO59" i="106"/>
  <c r="GE59" i="106"/>
  <c r="GC34" i="106"/>
  <c r="GF36" i="106"/>
  <c r="GL36" i="106" s="1"/>
  <c r="GF38" i="106"/>
  <c r="GL38" i="106" s="1"/>
  <c r="GB45" i="106"/>
  <c r="GC52" i="106"/>
  <c r="GN76" i="106"/>
  <c r="GB76" i="106"/>
  <c r="GC76" i="106"/>
  <c r="GE76" i="106"/>
  <c r="GO76" i="106"/>
  <c r="GF76" i="106"/>
  <c r="GL76" i="106" s="1"/>
  <c r="GN29" i="106"/>
  <c r="GB32" i="106"/>
  <c r="GC37" i="106"/>
  <c r="GF37" i="106"/>
  <c r="GL37" i="106" s="1"/>
  <c r="GE37" i="106"/>
  <c r="GN39" i="106"/>
  <c r="GC39" i="106"/>
  <c r="GB39" i="106"/>
  <c r="GD39" i="106" s="1"/>
  <c r="GO39" i="106"/>
  <c r="GE40" i="106"/>
  <c r="GO41" i="106"/>
  <c r="GO42" i="106"/>
  <c r="GB47" i="106"/>
  <c r="GO49" i="106"/>
  <c r="HW77" i="106"/>
  <c r="HW86" i="106"/>
  <c r="HW84" i="106"/>
  <c r="HW69" i="106"/>
  <c r="HW58" i="106"/>
  <c r="HW74" i="106"/>
  <c r="HW56" i="106"/>
  <c r="HW64" i="106"/>
  <c r="HW81" i="106"/>
  <c r="HW57" i="106"/>
  <c r="HW60" i="106"/>
  <c r="HW82" i="106"/>
  <c r="HW71" i="106"/>
  <c r="HW46" i="106"/>
  <c r="HW48" i="106"/>
  <c r="HW44" i="106"/>
  <c r="HW63" i="106"/>
  <c r="HW78" i="106"/>
  <c r="DD35" i="106"/>
  <c r="HW39" i="106"/>
  <c r="HW47" i="106"/>
  <c r="GO32" i="106"/>
  <c r="GC32" i="106"/>
  <c r="HW42" i="106"/>
  <c r="GF45" i="106"/>
  <c r="GL45" i="106" s="1"/>
  <c r="GC45" i="106"/>
  <c r="GN45" i="106"/>
  <c r="HW45" i="106"/>
  <c r="HW36" i="106"/>
  <c r="GE45" i="106"/>
  <c r="GN52" i="106"/>
  <c r="GP52" i="106" s="1"/>
  <c r="GC61" i="106"/>
  <c r="GO61" i="106"/>
  <c r="GF61" i="106"/>
  <c r="GL61" i="106" s="1"/>
  <c r="GB61" i="106"/>
  <c r="GN61" i="106"/>
  <c r="GE61" i="106"/>
  <c r="GE32" i="106"/>
  <c r="HW38" i="106"/>
  <c r="GF40" i="106"/>
  <c r="GL40" i="106" s="1"/>
  <c r="GO40" i="106"/>
  <c r="GN40" i="106"/>
  <c r="GP40" i="106" s="1"/>
  <c r="HW43" i="106"/>
  <c r="GF54" i="106"/>
  <c r="GL54" i="106" s="1"/>
  <c r="HW65" i="106"/>
  <c r="GN42" i="106"/>
  <c r="GP42" i="106" s="1"/>
  <c r="GB42" i="106"/>
  <c r="GO50" i="106"/>
  <c r="GB50" i="106"/>
  <c r="GD50" i="106" s="1"/>
  <c r="GC67" i="106"/>
  <c r="GN67" i="106"/>
  <c r="GF67" i="106"/>
  <c r="GL67" i="106" s="1"/>
  <c r="GE67" i="106"/>
  <c r="GB67" i="106"/>
  <c r="GO67" i="106"/>
  <c r="GE50" i="106"/>
  <c r="HW75" i="106"/>
  <c r="GE42" i="106"/>
  <c r="HW52" i="106"/>
  <c r="HW54" i="106"/>
  <c r="HW62" i="106"/>
  <c r="I76" i="106"/>
  <c r="I78" i="106" s="1"/>
  <c r="I70" i="106"/>
  <c r="I72" i="106" s="1"/>
  <c r="I67" i="106"/>
  <c r="I68" i="106"/>
  <c r="GF42" i="106"/>
  <c r="GL42" i="106" s="1"/>
  <c r="GN62" i="106"/>
  <c r="HW67" i="106"/>
  <c r="GN73" i="106"/>
  <c r="GB73" i="106"/>
  <c r="GC73" i="106"/>
  <c r="GO73" i="106"/>
  <c r="GE73" i="106"/>
  <c r="GF73" i="106"/>
  <c r="GL73" i="106" s="1"/>
  <c r="GO81" i="106"/>
  <c r="HW76" i="106"/>
  <c r="HW53" i="106"/>
  <c r="GC65" i="106"/>
  <c r="GO65" i="106"/>
  <c r="GB65" i="106"/>
  <c r="GN65" i="106"/>
  <c r="GE65" i="106"/>
  <c r="GE52" i="106"/>
  <c r="GB52" i="106"/>
  <c r="HW66" i="106"/>
  <c r="GC68" i="106"/>
  <c r="GO68" i="106"/>
  <c r="GB68" i="106"/>
  <c r="GN68" i="106"/>
  <c r="GF68" i="106"/>
  <c r="GL68" i="106" s="1"/>
  <c r="HW73" i="106"/>
  <c r="GO77" i="106"/>
  <c r="GC77" i="106"/>
  <c r="GN77" i="106"/>
  <c r="GP77" i="106" s="1"/>
  <c r="GB77" i="106"/>
  <c r="GF77" i="106"/>
  <c r="GL77" i="106" s="1"/>
  <c r="GE77" i="106"/>
  <c r="GE54" i="106"/>
  <c r="GO54" i="106"/>
  <c r="GC54" i="106"/>
  <c r="GN54" i="106"/>
  <c r="GF62" i="106"/>
  <c r="GL62" i="106" s="1"/>
  <c r="GC62" i="106"/>
  <c r="GF75" i="106"/>
  <c r="GL75" i="106" s="1"/>
  <c r="GO75" i="106"/>
  <c r="GC75" i="106"/>
  <c r="GE75" i="106"/>
  <c r="GB75" i="106"/>
  <c r="HW83" i="106"/>
  <c r="GF52" i="106"/>
  <c r="GL52" i="106" s="1"/>
  <c r="GO53" i="106"/>
  <c r="GC53" i="106"/>
  <c r="GE53" i="106"/>
  <c r="GN75" i="106"/>
  <c r="GE63" i="106"/>
  <c r="GF63" i="106"/>
  <c r="GL63" i="106" s="1"/>
  <c r="GC63" i="106"/>
  <c r="GF70" i="106"/>
  <c r="GL70" i="106" s="1"/>
  <c r="GN70" i="106"/>
  <c r="HW68" i="106"/>
  <c r="GE60" i="106"/>
  <c r="GC60" i="106"/>
  <c r="GN60" i="106"/>
  <c r="GO63" i="106"/>
  <c r="GC70" i="106"/>
  <c r="GN83" i="106"/>
  <c r="GB83" i="106"/>
  <c r="GF83" i="106"/>
  <c r="GL83" i="106" s="1"/>
  <c r="GE83" i="106"/>
  <c r="GC83" i="106"/>
  <c r="GO83" i="106"/>
  <c r="HW85" i="106"/>
  <c r="GO60" i="106"/>
  <c r="GB63" i="106"/>
  <c r="GN79" i="106"/>
  <c r="GB79" i="106"/>
  <c r="GF79" i="106"/>
  <c r="GL79" i="106" s="1"/>
  <c r="GE79" i="106"/>
  <c r="GC79" i="106"/>
  <c r="GO79" i="106"/>
  <c r="GF81" i="106"/>
  <c r="GL81" i="106" s="1"/>
  <c r="GE81" i="106"/>
  <c r="GN81" i="106"/>
  <c r="GB60" i="106"/>
  <c r="GB81" i="106"/>
  <c r="GF85" i="106"/>
  <c r="GL85" i="106" s="1"/>
  <c r="GE85" i="106"/>
  <c r="GN85" i="106"/>
  <c r="GB85" i="106"/>
  <c r="GC85" i="106"/>
  <c r="HW79" i="106"/>
  <c r="GN80" i="106"/>
  <c r="GB80" i="106"/>
  <c r="GF80" i="106"/>
  <c r="GL80" i="106" s="1"/>
  <c r="GE80" i="106"/>
  <c r="GO80" i="106"/>
  <c r="GE72" i="106"/>
  <c r="GF78" i="106"/>
  <c r="GL78" i="106" s="1"/>
  <c r="GE78" i="106"/>
  <c r="GO78" i="106"/>
  <c r="GN78" i="106"/>
  <c r="HW80" i="106"/>
  <c r="GE66" i="106"/>
  <c r="GE71" i="106"/>
  <c r="GN74" i="106"/>
  <c r="GB74" i="106"/>
  <c r="GD74" i="106" s="1"/>
  <c r="GF74" i="106"/>
  <c r="GL74" i="106" s="1"/>
  <c r="GF84" i="106"/>
  <c r="GL84" i="106" s="1"/>
  <c r="GE84" i="106"/>
  <c r="GN84" i="106"/>
  <c r="GB84" i="106"/>
  <c r="GE74" i="106"/>
  <c r="GN86" i="106"/>
  <c r="GB86" i="106"/>
  <c r="GF86" i="106"/>
  <c r="GL86" i="106" s="1"/>
  <c r="GE86" i="106"/>
  <c r="GO86" i="106"/>
  <c r="GC86" i="106"/>
  <c r="HS86" i="73"/>
  <c r="FU86" i="73"/>
  <c r="HS85" i="73"/>
  <c r="FU85" i="73"/>
  <c r="HS84" i="73"/>
  <c r="FU84" i="73"/>
  <c r="HS83" i="73"/>
  <c r="FU83" i="73"/>
  <c r="HS82" i="73"/>
  <c r="FU82" i="73"/>
  <c r="HS81" i="73"/>
  <c r="FU81" i="73"/>
  <c r="HS80" i="73"/>
  <c r="FU80" i="73"/>
  <c r="HS79" i="73"/>
  <c r="FU79" i="73"/>
  <c r="HS78" i="73"/>
  <c r="FU78" i="73"/>
  <c r="HS77" i="73"/>
  <c r="FU77" i="73"/>
  <c r="HS76" i="73"/>
  <c r="FU76" i="73"/>
  <c r="HS75" i="73"/>
  <c r="FU75" i="73"/>
  <c r="HS74" i="73"/>
  <c r="FU74" i="73"/>
  <c r="HS73" i="73"/>
  <c r="FU73" i="73"/>
  <c r="HS72" i="73"/>
  <c r="FU72" i="73"/>
  <c r="HS71" i="73"/>
  <c r="FU71" i="73"/>
  <c r="HS70" i="73"/>
  <c r="FU70" i="73"/>
  <c r="HS69" i="73"/>
  <c r="FU69" i="73"/>
  <c r="HS68" i="73"/>
  <c r="FU68" i="73"/>
  <c r="HS67" i="73"/>
  <c r="FU67" i="73"/>
  <c r="HS66" i="73"/>
  <c r="FU66" i="73"/>
  <c r="HS65" i="73"/>
  <c r="FU65" i="73"/>
  <c r="HS64" i="73"/>
  <c r="FU64" i="73"/>
  <c r="HS63" i="73"/>
  <c r="FU63" i="73"/>
  <c r="HS62" i="73"/>
  <c r="FU62" i="73"/>
  <c r="HS61" i="73"/>
  <c r="FU61" i="73"/>
  <c r="HS60" i="73"/>
  <c r="FU60" i="73"/>
  <c r="HS59" i="73"/>
  <c r="FU59" i="73"/>
  <c r="HS58" i="73"/>
  <c r="FU58" i="73"/>
  <c r="HS57" i="73"/>
  <c r="FU57" i="73"/>
  <c r="HS56" i="73"/>
  <c r="HW23" i="73" s="1"/>
  <c r="FU56" i="73"/>
  <c r="HS55" i="73"/>
  <c r="FU55" i="73"/>
  <c r="HS54" i="73"/>
  <c r="FU54" i="73"/>
  <c r="HS53" i="73"/>
  <c r="FU53" i="73"/>
  <c r="HS52" i="73"/>
  <c r="FU52" i="73"/>
  <c r="HS51" i="73"/>
  <c r="FU51" i="73"/>
  <c r="HS50" i="73"/>
  <c r="FU50" i="73"/>
  <c r="HS49" i="73"/>
  <c r="FU49" i="73"/>
  <c r="HS48" i="73"/>
  <c r="FU48" i="73"/>
  <c r="HS47" i="73"/>
  <c r="FU47" i="73"/>
  <c r="AP47" i="73"/>
  <c r="HS46" i="73"/>
  <c r="FU46" i="73"/>
  <c r="AP46" i="73"/>
  <c r="HS45" i="73"/>
  <c r="FU45" i="73"/>
  <c r="AP45" i="73"/>
  <c r="HS44" i="73"/>
  <c r="FU44" i="73"/>
  <c r="HS43" i="73"/>
  <c r="FU43" i="73"/>
  <c r="HS42" i="73"/>
  <c r="FU42" i="73"/>
  <c r="AJ42" i="73"/>
  <c r="AJ43" i="73" s="1"/>
  <c r="HS41" i="73"/>
  <c r="HQ41" i="73"/>
  <c r="FT41" i="73"/>
  <c r="FU41" i="73" s="1"/>
  <c r="HS40" i="73"/>
  <c r="FU40" i="73"/>
  <c r="HS39" i="73"/>
  <c r="FU39" i="73"/>
  <c r="HS38" i="73"/>
  <c r="FU38" i="73"/>
  <c r="HS37" i="73"/>
  <c r="FU37" i="73"/>
  <c r="HS36" i="73"/>
  <c r="FU36" i="73"/>
  <c r="AJ36" i="73"/>
  <c r="HS35" i="73"/>
  <c r="FU35" i="73"/>
  <c r="AJ35" i="73"/>
  <c r="HS34" i="73"/>
  <c r="FU34" i="73"/>
  <c r="AJ34" i="73"/>
  <c r="HS33" i="73"/>
  <c r="FU33" i="73"/>
  <c r="AJ33" i="73"/>
  <c r="HS32" i="73"/>
  <c r="FU32" i="73"/>
  <c r="HS31" i="73"/>
  <c r="FU31" i="73"/>
  <c r="AJ31" i="73"/>
  <c r="HS30" i="73"/>
  <c r="FU30" i="73"/>
  <c r="HS29" i="73"/>
  <c r="FU29" i="73"/>
  <c r="HS28" i="73"/>
  <c r="FU28" i="73"/>
  <c r="HS27" i="73"/>
  <c r="FU27" i="73"/>
  <c r="HS26" i="73"/>
  <c r="FU26" i="73"/>
  <c r="FG26" i="73"/>
  <c r="HQ24" i="73"/>
  <c r="FP24" i="73"/>
  <c r="HR24" i="73" s="1"/>
  <c r="HS24" i="73" s="1"/>
  <c r="FP21" i="73"/>
  <c r="AJ40" i="73" s="1"/>
  <c r="AP40" i="73" s="1"/>
  <c r="FP19" i="73"/>
  <c r="DO17" i="73"/>
  <c r="FP10" i="73"/>
  <c r="FZ13" i="73" s="1"/>
  <c r="AJ32" i="73" s="1"/>
  <c r="FQ9" i="73"/>
  <c r="FQ8" i="73"/>
  <c r="FQ7" i="73"/>
  <c r="FT2" i="73"/>
  <c r="FW86" i="106" l="1"/>
  <c r="GP79" i="106"/>
  <c r="GP58" i="106"/>
  <c r="GD81" i="106"/>
  <c r="GD34" i="106"/>
  <c r="GD72" i="106"/>
  <c r="GD75" i="106"/>
  <c r="GP61" i="106"/>
  <c r="GD32" i="106"/>
  <c r="GD38" i="106"/>
  <c r="GP75" i="106"/>
  <c r="GP45" i="106"/>
  <c r="GD63" i="106"/>
  <c r="GP41" i="106"/>
  <c r="GP82" i="106"/>
  <c r="GD53" i="106"/>
  <c r="GD40" i="106"/>
  <c r="GP76" i="106"/>
  <c r="GP86" i="106"/>
  <c r="FZ69" i="106"/>
  <c r="FZ27" i="106"/>
  <c r="GI27" i="106" s="1"/>
  <c r="FW41" i="106"/>
  <c r="FV83" i="106"/>
  <c r="FV51" i="106"/>
  <c r="FV65" i="106"/>
  <c r="FY27" i="106"/>
  <c r="GH27" i="106" s="1"/>
  <c r="FV52" i="106"/>
  <c r="FY53" i="106"/>
  <c r="GH53" i="106" s="1"/>
  <c r="FZ33" i="106"/>
  <c r="GI33" i="106" s="1"/>
  <c r="FY64" i="106"/>
  <c r="GH64" i="106" s="1"/>
  <c r="FV46" i="106"/>
  <c r="FW39" i="106"/>
  <c r="FV59" i="106"/>
  <c r="FV28" i="106"/>
  <c r="FW52" i="106"/>
  <c r="FV74" i="106"/>
  <c r="FZ59" i="106"/>
  <c r="GI59" i="106" s="1"/>
  <c r="FY54" i="106"/>
  <c r="FV66" i="106"/>
  <c r="FZ82" i="106"/>
  <c r="GI82" i="106" s="1"/>
  <c r="CN30" i="106"/>
  <c r="FY62" i="106"/>
  <c r="FW26" i="106"/>
  <c r="FY72" i="106"/>
  <c r="GH72" i="106" s="1"/>
  <c r="FZ44" i="106"/>
  <c r="GI44" i="106" s="1"/>
  <c r="FW38" i="106"/>
  <c r="FY57" i="106"/>
  <c r="GH57" i="106" s="1"/>
  <c r="FZ63" i="106"/>
  <c r="GI63" i="106" s="1"/>
  <c r="FW62" i="106"/>
  <c r="FY48" i="106"/>
  <c r="GH48" i="106" s="1"/>
  <c r="FZ62" i="106"/>
  <c r="GI62" i="106" s="1"/>
  <c r="FZ68" i="106"/>
  <c r="GI68" i="106" s="1"/>
  <c r="FY69" i="106"/>
  <c r="GH69" i="106" s="1"/>
  <c r="FZ84" i="106"/>
  <c r="GI84" i="106" s="1"/>
  <c r="FY75" i="106"/>
  <c r="FW53" i="106"/>
  <c r="FV29" i="106"/>
  <c r="FW29" i="106"/>
  <c r="FW47" i="106"/>
  <c r="FY51" i="106"/>
  <c r="GH51" i="106" s="1"/>
  <c r="FV38" i="106"/>
  <c r="FW74" i="106"/>
  <c r="CP32" i="106"/>
  <c r="FZ49" i="106"/>
  <c r="GI49" i="106" s="1"/>
  <c r="FV62" i="106"/>
  <c r="FV37" i="106"/>
  <c r="FX37" i="106" s="1"/>
  <c r="FW36" i="106"/>
  <c r="FZ58" i="106"/>
  <c r="GI58" i="106" s="1"/>
  <c r="FY36" i="106"/>
  <c r="GH36" i="106" s="1"/>
  <c r="FV50" i="106"/>
  <c r="FZ54" i="106"/>
  <c r="GI54" i="106" s="1"/>
  <c r="FV63" i="106"/>
  <c r="FZ28" i="106"/>
  <c r="GI28" i="106" s="1"/>
  <c r="FW45" i="106"/>
  <c r="FW30" i="106"/>
  <c r="CS30" i="106"/>
  <c r="FY73" i="106"/>
  <c r="GA73" i="106" s="1"/>
  <c r="FV64" i="106"/>
  <c r="FX64" i="106" s="1"/>
  <c r="FW46" i="106"/>
  <c r="FW67" i="106"/>
  <c r="FY71" i="106"/>
  <c r="GH71" i="106" s="1"/>
  <c r="FY80" i="106"/>
  <c r="GH80" i="106" s="1"/>
  <c r="FW78" i="106"/>
  <c r="FW27" i="106"/>
  <c r="FW57" i="106"/>
  <c r="FY31" i="106"/>
  <c r="GH31" i="106" s="1"/>
  <c r="FW56" i="106"/>
  <c r="FY86" i="106"/>
  <c r="FY29" i="106"/>
  <c r="FY33" i="106"/>
  <c r="FZ53" i="106"/>
  <c r="GI53" i="106" s="1"/>
  <c r="FZ50" i="106"/>
  <c r="GI50" i="106" s="1"/>
  <c r="FZ85" i="106"/>
  <c r="GI85" i="106" s="1"/>
  <c r="FZ37" i="106"/>
  <c r="GI37" i="106" s="1"/>
  <c r="FZ48" i="106"/>
  <c r="GI48" i="106" s="1"/>
  <c r="FV40" i="106"/>
  <c r="FZ32" i="106"/>
  <c r="GI32" i="106" s="1"/>
  <c r="FW68" i="106"/>
  <c r="FY78" i="106"/>
  <c r="GH78" i="106" s="1"/>
  <c r="FW48" i="106"/>
  <c r="FV80" i="106"/>
  <c r="FY66" i="106"/>
  <c r="GH66" i="106" s="1"/>
  <c r="FY84" i="106"/>
  <c r="GH84" i="106" s="1"/>
  <c r="FW83" i="106"/>
  <c r="FV67" i="106"/>
  <c r="FX67" i="106" s="1"/>
  <c r="FZ86" i="106"/>
  <c r="GI86" i="106" s="1"/>
  <c r="FW79" i="106"/>
  <c r="FZ34" i="106"/>
  <c r="GI34" i="106" s="1"/>
  <c r="FY67" i="106"/>
  <c r="FW60" i="106"/>
  <c r="FV57" i="106"/>
  <c r="FY68" i="106"/>
  <c r="FW35" i="106"/>
  <c r="FY40" i="106"/>
  <c r="FV86" i="106"/>
  <c r="FX86" i="106" s="1"/>
  <c r="FW71" i="106"/>
  <c r="FY65" i="106"/>
  <c r="GH65" i="106" s="1"/>
  <c r="FW54" i="106"/>
  <c r="FZ76" i="106"/>
  <c r="GI76" i="106" s="1"/>
  <c r="FW77" i="106"/>
  <c r="FV71" i="106"/>
  <c r="FW82" i="106"/>
  <c r="FV31" i="106"/>
  <c r="FW43" i="106"/>
  <c r="FY26" i="106"/>
  <c r="FY41" i="106"/>
  <c r="FV30" i="106"/>
  <c r="FY39" i="106"/>
  <c r="GH39" i="106" s="1"/>
  <c r="FZ55" i="106"/>
  <c r="GI55" i="106" s="1"/>
  <c r="FZ57" i="106"/>
  <c r="GI57" i="106" s="1"/>
  <c r="FZ65" i="106"/>
  <c r="GI65" i="106" s="1"/>
  <c r="FW49" i="106"/>
  <c r="FX49" i="106" s="1"/>
  <c r="FV73" i="106"/>
  <c r="FV72" i="106"/>
  <c r="FY32" i="106"/>
  <c r="GH32" i="106" s="1"/>
  <c r="FV35" i="106"/>
  <c r="FW51" i="106"/>
  <c r="FY60" i="106"/>
  <c r="GH60" i="106" s="1"/>
  <c r="FV53" i="106"/>
  <c r="FX53" i="106" s="1"/>
  <c r="FW40" i="106"/>
  <c r="FZ40" i="106"/>
  <c r="GI40" i="106" s="1"/>
  <c r="FV58" i="106"/>
  <c r="FY81" i="106"/>
  <c r="GH81" i="106" s="1"/>
  <c r="FW50" i="106"/>
  <c r="FV81" i="106"/>
  <c r="FV75" i="106"/>
  <c r="FV84" i="106"/>
  <c r="FW28" i="106"/>
  <c r="FZ36" i="106"/>
  <c r="GI36" i="106" s="1"/>
  <c r="FY28" i="106"/>
  <c r="GH28" i="106" s="1"/>
  <c r="FZ52" i="106"/>
  <c r="GI52" i="106" s="1"/>
  <c r="FW42" i="106"/>
  <c r="FZ41" i="106"/>
  <c r="GI41" i="106" s="1"/>
  <c r="FV33" i="106"/>
  <c r="FW63" i="106"/>
  <c r="FY38" i="106"/>
  <c r="GH38" i="106" s="1"/>
  <c r="FY61" i="106"/>
  <c r="FZ66" i="106"/>
  <c r="GI66" i="106" s="1"/>
  <c r="FY55" i="106"/>
  <c r="GH55" i="106" s="1"/>
  <c r="FW66" i="106"/>
  <c r="FY52" i="106"/>
  <c r="GH52" i="106" s="1"/>
  <c r="FW73" i="106"/>
  <c r="FY77" i="106"/>
  <c r="GH77" i="106" s="1"/>
  <c r="FZ80" i="106"/>
  <c r="GI80" i="106" s="1"/>
  <c r="FZ38" i="106"/>
  <c r="GI38" i="106" s="1"/>
  <c r="FV34" i="106"/>
  <c r="FZ31" i="106"/>
  <c r="GI31" i="106" s="1"/>
  <c r="FV44" i="106"/>
  <c r="FZ43" i="106"/>
  <c r="GI43" i="106" s="1"/>
  <c r="FZ42" i="106"/>
  <c r="GI42" i="106" s="1"/>
  <c r="FV41" i="106"/>
  <c r="FX41" i="106" s="1"/>
  <c r="FY42" i="106"/>
  <c r="GH42" i="106" s="1"/>
  <c r="FZ47" i="106"/>
  <c r="GI47" i="106" s="1"/>
  <c r="FY74" i="106"/>
  <c r="FV69" i="106"/>
  <c r="FY58" i="106"/>
  <c r="GH58" i="106" s="1"/>
  <c r="FW69" i="106"/>
  <c r="FW59" i="106"/>
  <c r="FZ75" i="106"/>
  <c r="GI75" i="106" s="1"/>
  <c r="FY79" i="106"/>
  <c r="GH79" i="106" s="1"/>
  <c r="FV82" i="106"/>
  <c r="FZ45" i="106"/>
  <c r="GI45" i="106" s="1"/>
  <c r="FZ26" i="106"/>
  <c r="GI26" i="106" s="1"/>
  <c r="FZ35" i="106"/>
  <c r="GA35" i="106" s="1"/>
  <c r="FV47" i="106"/>
  <c r="FV54" i="106"/>
  <c r="FZ60" i="106"/>
  <c r="GI60" i="106" s="1"/>
  <c r="FV42" i="106"/>
  <c r="FX42" i="106" s="1"/>
  <c r="FY49" i="106"/>
  <c r="GH49" i="106" s="1"/>
  <c r="FY46" i="106"/>
  <c r="GH46" i="106" s="1"/>
  <c r="FW80" i="106"/>
  <c r="FZ51" i="106"/>
  <c r="GI51" i="106" s="1"/>
  <c r="FY63" i="106"/>
  <c r="FZ74" i="106"/>
  <c r="GI74" i="106" s="1"/>
  <c r="FZ64" i="106"/>
  <c r="FZ78" i="106"/>
  <c r="GI78" i="106" s="1"/>
  <c r="FV78" i="106"/>
  <c r="FZ83" i="106"/>
  <c r="GI83" i="106" s="1"/>
  <c r="CN31" i="106"/>
  <c r="CS31" i="106" s="1"/>
  <c r="FV32" i="106"/>
  <c r="FZ30" i="106"/>
  <c r="GI30" i="106" s="1"/>
  <c r="FW33" i="106"/>
  <c r="FY30" i="106"/>
  <c r="GH30" i="106" s="1"/>
  <c r="FV76" i="106"/>
  <c r="FW55" i="106"/>
  <c r="FY56" i="106"/>
  <c r="GH56" i="106" s="1"/>
  <c r="FW58" i="106"/>
  <c r="FX58" i="106" s="1"/>
  <c r="FY47" i="106"/>
  <c r="FV77" i="106"/>
  <c r="FZ67" i="106"/>
  <c r="GI67" i="106" s="1"/>
  <c r="FZ81" i="106"/>
  <c r="GI81" i="106" s="1"/>
  <c r="FZ61" i="106"/>
  <c r="GI61" i="106" s="1"/>
  <c r="FY70" i="106"/>
  <c r="GH70" i="106" s="1"/>
  <c r="FW81" i="106"/>
  <c r="FV85" i="106"/>
  <c r="FV68" i="106"/>
  <c r="FZ77" i="106"/>
  <c r="FW75" i="106"/>
  <c r="FX75" i="106" s="1"/>
  <c r="FW84" i="106"/>
  <c r="FY76" i="106"/>
  <c r="GH76" i="106" s="1"/>
  <c r="FV26" i="106"/>
  <c r="FV27" i="106"/>
  <c r="FZ29" i="106"/>
  <c r="GI29" i="106" s="1"/>
  <c r="FV56" i="106"/>
  <c r="FV48" i="106"/>
  <c r="FY44" i="106"/>
  <c r="GH44" i="106" s="1"/>
  <c r="FV36" i="106"/>
  <c r="FZ72" i="106"/>
  <c r="GI72" i="106" s="1"/>
  <c r="FY43" i="106"/>
  <c r="GA43" i="106" s="1"/>
  <c r="FY45" i="106"/>
  <c r="GA45" i="106" s="1"/>
  <c r="FZ39" i="106"/>
  <c r="GI39" i="106" s="1"/>
  <c r="FZ56" i="106"/>
  <c r="GI56" i="106" s="1"/>
  <c r="FY50" i="106"/>
  <c r="FZ70" i="106"/>
  <c r="GI70" i="106" s="1"/>
  <c r="FV61" i="106"/>
  <c r="FW70" i="106"/>
  <c r="FY83" i="106"/>
  <c r="GH83" i="106" s="1"/>
  <c r="FY82" i="106"/>
  <c r="GH82" i="106" s="1"/>
  <c r="FY85" i="106"/>
  <c r="GH85" i="106" s="1"/>
  <c r="FW76" i="106"/>
  <c r="GD73" i="106"/>
  <c r="GP31" i="106"/>
  <c r="GD55" i="106"/>
  <c r="GP72" i="106"/>
  <c r="GP62" i="106"/>
  <c r="GD86" i="106"/>
  <c r="GP83" i="106"/>
  <c r="GD67" i="106"/>
  <c r="GP59" i="106"/>
  <c r="GP33" i="106"/>
  <c r="GP55" i="106"/>
  <c r="GP37" i="106"/>
  <c r="GP54" i="106"/>
  <c r="GP68" i="106"/>
  <c r="GP53" i="106"/>
  <c r="GP32" i="106"/>
  <c r="GP27" i="106"/>
  <c r="GP48" i="106"/>
  <c r="GP57" i="106"/>
  <c r="GD26" i="106"/>
  <c r="GD83" i="106"/>
  <c r="GP85" i="106"/>
  <c r="GD30" i="106"/>
  <c r="GD56" i="106"/>
  <c r="GP66" i="106"/>
  <c r="GD76" i="106"/>
  <c r="GG57" i="106"/>
  <c r="GK57" i="106"/>
  <c r="GR57" i="106" s="1"/>
  <c r="GK77" i="106"/>
  <c r="GR77" i="106" s="1"/>
  <c r="GG77" i="106"/>
  <c r="GK38" i="106"/>
  <c r="GR38" i="106" s="1"/>
  <c r="GG38" i="106"/>
  <c r="GD64" i="106"/>
  <c r="GG81" i="106"/>
  <c r="GK81" i="106"/>
  <c r="GR81" i="106" s="1"/>
  <c r="GU81" i="106" s="1"/>
  <c r="GK65" i="106"/>
  <c r="GR65" i="106" s="1"/>
  <c r="GG65" i="106"/>
  <c r="GG42" i="106"/>
  <c r="GK42" i="106"/>
  <c r="GG46" i="106"/>
  <c r="GK46" i="106"/>
  <c r="GR46" i="106" s="1"/>
  <c r="GD69" i="106"/>
  <c r="GD66" i="106"/>
  <c r="GP51" i="106"/>
  <c r="GP46" i="106"/>
  <c r="GG79" i="106"/>
  <c r="GK79" i="106"/>
  <c r="GR79" i="106" s="1"/>
  <c r="GK32" i="106"/>
  <c r="GG32" i="106"/>
  <c r="GP43" i="106"/>
  <c r="GP69" i="106"/>
  <c r="GP74" i="106"/>
  <c r="GD80" i="106"/>
  <c r="GK83" i="106"/>
  <c r="GR83" i="106" s="1"/>
  <c r="GG83" i="106"/>
  <c r="GP65" i="106"/>
  <c r="GP73" i="106"/>
  <c r="GK36" i="106"/>
  <c r="GG36" i="106"/>
  <c r="GD51" i="106"/>
  <c r="GP49" i="106"/>
  <c r="GH35" i="106"/>
  <c r="GK72" i="106"/>
  <c r="GR72" i="106" s="1"/>
  <c r="GG72" i="106"/>
  <c r="GD60" i="106"/>
  <c r="GD52" i="106"/>
  <c r="GK86" i="106"/>
  <c r="GG86" i="106"/>
  <c r="GG71" i="106"/>
  <c r="GK71" i="106"/>
  <c r="GP80" i="106"/>
  <c r="GD65" i="106"/>
  <c r="GK50" i="106"/>
  <c r="GG50" i="106"/>
  <c r="GK40" i="106"/>
  <c r="GR40" i="106" s="1"/>
  <c r="GG40" i="106"/>
  <c r="GK76" i="106"/>
  <c r="GR76" i="106" s="1"/>
  <c r="GG76" i="106"/>
  <c r="GG31" i="106"/>
  <c r="GK31" i="106"/>
  <c r="GR31" i="106" s="1"/>
  <c r="GD41" i="106"/>
  <c r="GD82" i="106"/>
  <c r="GG48" i="106"/>
  <c r="GK48" i="106"/>
  <c r="GD62" i="106"/>
  <c r="GD58" i="106"/>
  <c r="GG55" i="106"/>
  <c r="GK55" i="106"/>
  <c r="GR55" i="106" s="1"/>
  <c r="GD43" i="106"/>
  <c r="GK51" i="106"/>
  <c r="GR51" i="106" s="1"/>
  <c r="GG51" i="106"/>
  <c r="GD49" i="106"/>
  <c r="GK41" i="106"/>
  <c r="GR41" i="106" s="1"/>
  <c r="GG41" i="106"/>
  <c r="GG63" i="106"/>
  <c r="GK63" i="106"/>
  <c r="GK82" i="106"/>
  <c r="GG82" i="106"/>
  <c r="GK26" i="106"/>
  <c r="GR26" i="106" s="1"/>
  <c r="GG26" i="106"/>
  <c r="GP78" i="106"/>
  <c r="GD85" i="106"/>
  <c r="GK53" i="106"/>
  <c r="GR53" i="106" s="1"/>
  <c r="GG53" i="106"/>
  <c r="GG67" i="106"/>
  <c r="GK67" i="106"/>
  <c r="GR67" i="106" s="1"/>
  <c r="GG44" i="106"/>
  <c r="GK44" i="106"/>
  <c r="GD70" i="106"/>
  <c r="GR82" i="106"/>
  <c r="GD54" i="106"/>
  <c r="GP56" i="106"/>
  <c r="GG58" i="106"/>
  <c r="GK58" i="106"/>
  <c r="GR58" i="106" s="1"/>
  <c r="GK43" i="106"/>
  <c r="GR43" i="106" s="1"/>
  <c r="GG43" i="106"/>
  <c r="GP47" i="106"/>
  <c r="GD35" i="106"/>
  <c r="GK66" i="106"/>
  <c r="GG66" i="106"/>
  <c r="GK68" i="106"/>
  <c r="GR68" i="106" s="1"/>
  <c r="GG68" i="106"/>
  <c r="GK74" i="106"/>
  <c r="GG74" i="106"/>
  <c r="GP39" i="106"/>
  <c r="DI34" i="106"/>
  <c r="DD34" i="106"/>
  <c r="DN34" i="106" s="1"/>
  <c r="CL36" i="106"/>
  <c r="GK47" i="106"/>
  <c r="GR47" i="106" s="1"/>
  <c r="GG47" i="106"/>
  <c r="GR86" i="106"/>
  <c r="GU86" i="106" s="1"/>
  <c r="CG37" i="106"/>
  <c r="DI35" i="106"/>
  <c r="GK70" i="106"/>
  <c r="GG70" i="106"/>
  <c r="GD79" i="106"/>
  <c r="GD68" i="106"/>
  <c r="GK39" i="106"/>
  <c r="GR39" i="106" s="1"/>
  <c r="GG39" i="106"/>
  <c r="GG28" i="106"/>
  <c r="GK28" i="106"/>
  <c r="GR28" i="106" s="1"/>
  <c r="GG62" i="106"/>
  <c r="GK62" i="106"/>
  <c r="GG69" i="106"/>
  <c r="GK69" i="106"/>
  <c r="GR69" i="106" s="1"/>
  <c r="GP26" i="106"/>
  <c r="GD84" i="106"/>
  <c r="GG78" i="106"/>
  <c r="GK78" i="106"/>
  <c r="GR78" i="106" s="1"/>
  <c r="GK85" i="106"/>
  <c r="GG85" i="106"/>
  <c r="GP60" i="106"/>
  <c r="GP67" i="106"/>
  <c r="GK37" i="106"/>
  <c r="GG37" i="106"/>
  <c r="GD45" i="106"/>
  <c r="GD36" i="106"/>
  <c r="GG29" i="106"/>
  <c r="GK29" i="106"/>
  <c r="GP38" i="106"/>
  <c r="GK33" i="106"/>
  <c r="GG33" i="106"/>
  <c r="GD46" i="106"/>
  <c r="GD78" i="106"/>
  <c r="GP36" i="106"/>
  <c r="GP50" i="106"/>
  <c r="FW85" i="106"/>
  <c r="GD37" i="106"/>
  <c r="GD48" i="106"/>
  <c r="GK34" i="106"/>
  <c r="GG34" i="106"/>
  <c r="GG27" i="106"/>
  <c r="GK27" i="106"/>
  <c r="GR27" i="106" s="1"/>
  <c r="GK30" i="106"/>
  <c r="GR30" i="106" s="1"/>
  <c r="GG30" i="106"/>
  <c r="GP84" i="106"/>
  <c r="GK61" i="106"/>
  <c r="GR61" i="106" s="1"/>
  <c r="GG61" i="106"/>
  <c r="GD71" i="106"/>
  <c r="GK84" i="106"/>
  <c r="GR84" i="106" s="1"/>
  <c r="GG84" i="106"/>
  <c r="GI69" i="106"/>
  <c r="GG56" i="106"/>
  <c r="GK56" i="106"/>
  <c r="GR56" i="106" s="1"/>
  <c r="GG45" i="106"/>
  <c r="GK45" i="106"/>
  <c r="GR45" i="106" s="1"/>
  <c r="GK54" i="106"/>
  <c r="GR54" i="106" s="1"/>
  <c r="GG54" i="106"/>
  <c r="GG60" i="106"/>
  <c r="GK60" i="106"/>
  <c r="GK73" i="106"/>
  <c r="GR73" i="106" s="1"/>
  <c r="GG73" i="106"/>
  <c r="GR36" i="106"/>
  <c r="GK64" i="106"/>
  <c r="GR64" i="106" s="1"/>
  <c r="GU64" i="106" s="1"/>
  <c r="GG64" i="106"/>
  <c r="GP30" i="106"/>
  <c r="GG35" i="106"/>
  <c r="GK35" i="106"/>
  <c r="GR35" i="106" s="1"/>
  <c r="GP63" i="106"/>
  <c r="GP28" i="106"/>
  <c r="GK80" i="106"/>
  <c r="GR80" i="106" s="1"/>
  <c r="GG80" i="106"/>
  <c r="GP81" i="106"/>
  <c r="GP70" i="106"/>
  <c r="GK75" i="106"/>
  <c r="GR75" i="106" s="1"/>
  <c r="GG75" i="106"/>
  <c r="GD77" i="106"/>
  <c r="GK52" i="106"/>
  <c r="GG52" i="106"/>
  <c r="GD42" i="106"/>
  <c r="GD61" i="106"/>
  <c r="GD47" i="106"/>
  <c r="GP29" i="106"/>
  <c r="GK59" i="106"/>
  <c r="GR59" i="106" s="1"/>
  <c r="GG59" i="106"/>
  <c r="GD31" i="106"/>
  <c r="GR50" i="106"/>
  <c r="GR71" i="106"/>
  <c r="GP71" i="106"/>
  <c r="GG49" i="106"/>
  <c r="GK49" i="106"/>
  <c r="FV39" i="106"/>
  <c r="FV43" i="106"/>
  <c r="FW32" i="106"/>
  <c r="FW34" i="106"/>
  <c r="FY34" i="106"/>
  <c r="FW72" i="106"/>
  <c r="FW31" i="106"/>
  <c r="FZ46" i="106"/>
  <c r="GI46" i="106" s="1"/>
  <c r="FW44" i="106"/>
  <c r="FY37" i="106"/>
  <c r="FV60" i="106"/>
  <c r="FV45" i="106"/>
  <c r="FV55" i="106"/>
  <c r="FW65" i="106"/>
  <c r="FX65" i="106" s="1"/>
  <c r="FV70" i="106"/>
  <c r="FZ71" i="106"/>
  <c r="GI71" i="106" s="1"/>
  <c r="FY59" i="106"/>
  <c r="FW61" i="106"/>
  <c r="FZ79" i="106"/>
  <c r="GI79" i="106" s="1"/>
  <c r="FV79" i="106"/>
  <c r="GB39" i="73"/>
  <c r="BU41" i="73"/>
  <c r="GO27" i="73"/>
  <c r="HW33" i="73"/>
  <c r="HW41" i="73"/>
  <c r="GO33" i="73"/>
  <c r="HW48" i="73"/>
  <c r="HW27" i="73"/>
  <c r="HW43" i="73"/>
  <c r="HW59" i="73"/>
  <c r="HW30" i="73"/>
  <c r="HW40" i="73"/>
  <c r="HW42" i="73"/>
  <c r="GE35" i="73"/>
  <c r="HW37" i="73"/>
  <c r="GF28" i="73"/>
  <c r="GL28" i="73" s="1"/>
  <c r="GC35" i="73"/>
  <c r="HW34" i="73"/>
  <c r="HW47" i="73"/>
  <c r="FZ11" i="73"/>
  <c r="GN28" i="73"/>
  <c r="HW35" i="73"/>
  <c r="HW28" i="73"/>
  <c r="HW31" i="73"/>
  <c r="HW38" i="73"/>
  <c r="HW36" i="73"/>
  <c r="GC36" i="73"/>
  <c r="GN39" i="73"/>
  <c r="HW50" i="73"/>
  <c r="HW29" i="73"/>
  <c r="HW32" i="73"/>
  <c r="AJ30" i="73"/>
  <c r="CK32" i="73" s="1"/>
  <c r="GK35" i="73"/>
  <c r="GO32" i="73"/>
  <c r="GN32" i="73"/>
  <c r="GF32" i="73"/>
  <c r="GL32" i="73" s="1"/>
  <c r="GE32" i="73"/>
  <c r="GB32" i="73"/>
  <c r="GN26" i="73"/>
  <c r="GC27" i="73"/>
  <c r="GC28" i="73"/>
  <c r="GB30" i="73"/>
  <c r="GO30" i="73"/>
  <c r="GN30" i="73"/>
  <c r="GF30" i="73"/>
  <c r="GL30" i="73" s="1"/>
  <c r="GN31" i="73"/>
  <c r="GC33" i="73"/>
  <c r="GO34" i="73"/>
  <c r="GE38" i="73"/>
  <c r="GO29" i="73"/>
  <c r="GN29" i="73"/>
  <c r="GF29" i="73"/>
  <c r="GL29" i="73" s="1"/>
  <c r="GE29" i="73"/>
  <c r="GB29" i="73"/>
  <c r="GB26" i="73"/>
  <c r="GC30" i="73"/>
  <c r="GB40" i="73"/>
  <c r="GE40" i="73"/>
  <c r="GO40" i="73"/>
  <c r="GN40" i="73"/>
  <c r="GF40" i="73"/>
  <c r="GL40" i="73" s="1"/>
  <c r="GN41" i="73"/>
  <c r="GN78" i="73"/>
  <c r="GN75" i="73"/>
  <c r="GE85" i="73"/>
  <c r="GF80" i="73"/>
  <c r="GL80" i="73" s="1"/>
  <c r="GB78" i="73"/>
  <c r="GE83" i="73"/>
  <c r="GC80" i="73"/>
  <c r="GB67" i="73"/>
  <c r="GC83" i="73"/>
  <c r="GE82" i="73"/>
  <c r="GB80" i="73"/>
  <c r="GO76" i="73"/>
  <c r="GF78" i="73"/>
  <c r="GL78" i="73" s="1"/>
  <c r="GN76" i="73"/>
  <c r="GC82" i="73"/>
  <c r="GC77" i="73"/>
  <c r="GO67" i="73"/>
  <c r="GE76" i="73"/>
  <c r="GO70" i="73"/>
  <c r="GE86" i="73"/>
  <c r="GB77" i="73"/>
  <c r="GF65" i="73"/>
  <c r="GL65" i="73" s="1"/>
  <c r="GN80" i="73"/>
  <c r="GC76" i="73"/>
  <c r="GF75" i="73"/>
  <c r="GL75" i="73" s="1"/>
  <c r="GF67" i="73"/>
  <c r="GL67" i="73" s="1"/>
  <c r="GF66" i="73"/>
  <c r="GL66" i="73" s="1"/>
  <c r="GE65" i="73"/>
  <c r="GE68" i="73"/>
  <c r="GO64" i="73"/>
  <c r="GC64" i="73"/>
  <c r="GC73" i="73"/>
  <c r="GO65" i="73"/>
  <c r="GN64" i="73"/>
  <c r="GC85" i="73"/>
  <c r="GB73" i="73"/>
  <c r="GO66" i="73"/>
  <c r="GN65" i="73"/>
  <c r="GE63" i="73"/>
  <c r="GC62" i="73"/>
  <c r="GB59" i="73"/>
  <c r="GB58" i="73"/>
  <c r="GE69" i="73"/>
  <c r="GO63" i="73"/>
  <c r="GC70" i="73"/>
  <c r="GE53" i="73"/>
  <c r="GF63" i="73"/>
  <c r="GL63" i="73" s="1"/>
  <c r="GB54" i="73"/>
  <c r="GC63" i="73"/>
  <c r="GO62" i="73"/>
  <c r="GN67" i="73"/>
  <c r="GN66" i="73"/>
  <c r="GE64" i="73"/>
  <c r="GO56" i="73"/>
  <c r="GC56" i="73"/>
  <c r="GO54" i="73"/>
  <c r="GF57" i="73"/>
  <c r="GL57" i="73" s="1"/>
  <c r="GF54" i="73"/>
  <c r="GL54" i="73" s="1"/>
  <c r="GE54" i="73"/>
  <c r="GB53" i="73"/>
  <c r="GB52" i="73"/>
  <c r="GE66" i="73"/>
  <c r="GC59" i="73"/>
  <c r="GC61" i="73"/>
  <c r="GB56" i="73"/>
  <c r="GF44" i="73"/>
  <c r="GL44" i="73" s="1"/>
  <c r="GO47" i="73"/>
  <c r="GE44" i="73"/>
  <c r="GO26" i="73"/>
  <c r="GE67" i="73"/>
  <c r="GO53" i="73"/>
  <c r="GE56" i="73"/>
  <c r="GO38" i="73"/>
  <c r="GN54" i="73"/>
  <c r="GO46" i="73"/>
  <c r="GB42" i="73"/>
  <c r="GO39" i="73"/>
  <c r="GB38" i="73"/>
  <c r="GB36" i="73"/>
  <c r="GC58" i="73"/>
  <c r="GE47" i="73"/>
  <c r="GO44" i="73"/>
  <c r="AJ38" i="73"/>
  <c r="DI34" i="73" s="1"/>
  <c r="GO43" i="73"/>
  <c r="GO48" i="73"/>
  <c r="GB45" i="73"/>
  <c r="GF41" i="73"/>
  <c r="GL41" i="73" s="1"/>
  <c r="GE27" i="73"/>
  <c r="GC29" i="73"/>
  <c r="GE30" i="73"/>
  <c r="GC32" i="73"/>
  <c r="GE33" i="73"/>
  <c r="GN34" i="73"/>
  <c r="GE36" i="73"/>
  <c r="GC40" i="73"/>
  <c r="GB35" i="73"/>
  <c r="GO35" i="73"/>
  <c r="GN35" i="73"/>
  <c r="GF35" i="73"/>
  <c r="GL35" i="73" s="1"/>
  <c r="GO31" i="73"/>
  <c r="GO36" i="73"/>
  <c r="GO37" i="73"/>
  <c r="CG36" i="73"/>
  <c r="GC38" i="73"/>
  <c r="GN46" i="73"/>
  <c r="GF50" i="73"/>
  <c r="GL50" i="73" s="1"/>
  <c r="GF27" i="73"/>
  <c r="GL27" i="73" s="1"/>
  <c r="GN27" i="73"/>
  <c r="GE28" i="73"/>
  <c r="GF33" i="73"/>
  <c r="GL33" i="73" s="1"/>
  <c r="GN33" i="73"/>
  <c r="GF36" i="73"/>
  <c r="GL36" i="73" s="1"/>
  <c r="GN36" i="73"/>
  <c r="GB37" i="73"/>
  <c r="GF38" i="73"/>
  <c r="GL38" i="73" s="1"/>
  <c r="GN38" i="73"/>
  <c r="GC39" i="73"/>
  <c r="GC47" i="73"/>
  <c r="GC37" i="73"/>
  <c r="FZ20" i="73"/>
  <c r="HW75" i="73"/>
  <c r="HW76" i="73"/>
  <c r="HW67" i="73"/>
  <c r="HW65" i="73"/>
  <c r="HW66" i="73"/>
  <c r="HW62" i="73"/>
  <c r="HW63" i="73"/>
  <c r="HW54" i="73"/>
  <c r="HW53" i="73"/>
  <c r="HW61" i="73"/>
  <c r="GC26" i="73"/>
  <c r="GO28" i="73"/>
  <c r="GB31" i="73"/>
  <c r="GB34" i="73"/>
  <c r="GE39" i="73"/>
  <c r="GO42" i="73"/>
  <c r="HW44" i="73"/>
  <c r="HW45" i="73"/>
  <c r="GN48" i="73"/>
  <c r="GE49" i="73"/>
  <c r="GN49" i="73"/>
  <c r="GC49" i="73"/>
  <c r="GB49" i="73"/>
  <c r="GF49" i="73"/>
  <c r="GL49" i="73" s="1"/>
  <c r="GB51" i="73"/>
  <c r="GO51" i="73"/>
  <c r="GF51" i="73"/>
  <c r="GL51" i="73" s="1"/>
  <c r="GE51" i="73"/>
  <c r="GC51" i="73"/>
  <c r="GN51" i="73"/>
  <c r="GC54" i="73"/>
  <c r="GE41" i="73"/>
  <c r="GC41" i="73"/>
  <c r="GC31" i="73"/>
  <c r="GC34" i="73"/>
  <c r="GE37" i="73"/>
  <c r="GF39" i="73"/>
  <c r="GL39" i="73" s="1"/>
  <c r="GO41" i="73"/>
  <c r="GN43" i="73"/>
  <c r="GC44" i="73"/>
  <c r="GE26" i="73"/>
  <c r="GB27" i="73"/>
  <c r="GD27" i="73" s="1"/>
  <c r="GB33" i="73"/>
  <c r="GF37" i="73"/>
  <c r="GL37" i="73" s="1"/>
  <c r="GN37" i="73"/>
  <c r="HW39" i="73"/>
  <c r="HW58" i="73"/>
  <c r="GF26" i="73"/>
  <c r="GL26" i="73" s="1"/>
  <c r="GB28" i="73"/>
  <c r="GE31" i="73"/>
  <c r="I68" i="73"/>
  <c r="I76" i="73"/>
  <c r="I78" i="73" s="1"/>
  <c r="I67" i="73"/>
  <c r="I70" i="73"/>
  <c r="I72" i="73" s="1"/>
  <c r="GE34" i="73"/>
  <c r="GO45" i="73"/>
  <c r="HW46" i="73"/>
  <c r="HW49" i="73"/>
  <c r="HW26" i="73"/>
  <c r="GF31" i="73"/>
  <c r="GL31" i="73" s="1"/>
  <c r="GF34" i="73"/>
  <c r="GL34" i="73" s="1"/>
  <c r="GB41" i="73"/>
  <c r="GO49" i="73"/>
  <c r="GC42" i="73"/>
  <c r="GN44" i="73"/>
  <c r="GC45" i="73"/>
  <c r="GF47" i="73"/>
  <c r="GL47" i="73" s="1"/>
  <c r="GN47" i="73"/>
  <c r="GB55" i="73"/>
  <c r="GO55" i="73"/>
  <c r="GE55" i="73"/>
  <c r="GN55" i="73"/>
  <c r="HW56" i="73"/>
  <c r="GN60" i="73"/>
  <c r="GF60" i="73"/>
  <c r="GL60" i="73" s="1"/>
  <c r="GE60" i="73"/>
  <c r="GB60" i="73"/>
  <c r="GC60" i="73"/>
  <c r="GO60" i="73"/>
  <c r="GE42" i="73"/>
  <c r="GB43" i="73"/>
  <c r="GE45" i="73"/>
  <c r="GB46" i="73"/>
  <c r="GB48" i="73"/>
  <c r="GB50" i="73"/>
  <c r="GO52" i="73"/>
  <c r="GN53" i="73"/>
  <c r="GP53" i="73" s="1"/>
  <c r="HW55" i="73"/>
  <c r="GF42" i="73"/>
  <c r="GL42" i="73" s="1"/>
  <c r="GN42" i="73"/>
  <c r="GC43" i="73"/>
  <c r="GF45" i="73"/>
  <c r="GL45" i="73" s="1"/>
  <c r="GN45" i="73"/>
  <c r="GC46" i="73"/>
  <c r="GC48" i="73"/>
  <c r="GC50" i="73"/>
  <c r="GN50" i="73"/>
  <c r="GC55" i="73"/>
  <c r="GN57" i="73"/>
  <c r="GB44" i="73"/>
  <c r="GB47" i="73"/>
  <c r="GE50" i="73"/>
  <c r="GO50" i="73"/>
  <c r="GE43" i="73"/>
  <c r="GE46" i="73"/>
  <c r="GE48" i="73"/>
  <c r="HW51" i="73"/>
  <c r="HW52" i="73"/>
  <c r="GF55" i="73"/>
  <c r="GL55" i="73" s="1"/>
  <c r="HW57" i="73"/>
  <c r="HW60" i="73"/>
  <c r="GF43" i="73"/>
  <c r="GL43" i="73" s="1"/>
  <c r="GF46" i="73"/>
  <c r="GL46" i="73" s="1"/>
  <c r="GF48" i="73"/>
  <c r="GL48" i="73" s="1"/>
  <c r="GO61" i="73"/>
  <c r="GC52" i="73"/>
  <c r="GF77" i="73"/>
  <c r="GL77" i="73" s="1"/>
  <c r="GE52" i="73"/>
  <c r="GC53" i="73"/>
  <c r="GN56" i="73"/>
  <c r="GF56" i="73"/>
  <c r="GL56" i="73" s="1"/>
  <c r="GN58" i="73"/>
  <c r="GF58" i="73"/>
  <c r="GL58" i="73" s="1"/>
  <c r="GE58" i="73"/>
  <c r="HW68" i="73"/>
  <c r="GF52" i="73"/>
  <c r="GL52" i="73" s="1"/>
  <c r="GN52" i="73"/>
  <c r="GN59" i="73"/>
  <c r="GF59" i="73"/>
  <c r="GL59" i="73" s="1"/>
  <c r="GE59" i="73"/>
  <c r="GO59" i="73"/>
  <c r="GN62" i="73"/>
  <c r="GF62" i="73"/>
  <c r="GL62" i="73" s="1"/>
  <c r="GE62" i="73"/>
  <c r="GB62" i="73"/>
  <c r="GC57" i="73"/>
  <c r="GF53" i="73"/>
  <c r="GL53" i="73" s="1"/>
  <c r="GO58" i="73"/>
  <c r="GC68" i="73"/>
  <c r="GB57" i="73"/>
  <c r="GE57" i="73"/>
  <c r="GO57" i="73"/>
  <c r="GN61" i="73"/>
  <c r="GF61" i="73"/>
  <c r="GL61" i="73" s="1"/>
  <c r="GE61" i="73"/>
  <c r="GB61" i="73"/>
  <c r="GF64" i="73"/>
  <c r="GL64" i="73" s="1"/>
  <c r="HW64" i="73"/>
  <c r="GC66" i="73"/>
  <c r="GC65" i="73"/>
  <c r="GE70" i="73"/>
  <c r="GB63" i="73"/>
  <c r="GB69" i="73"/>
  <c r="GO69" i="73"/>
  <c r="GN69" i="73"/>
  <c r="GF69" i="73"/>
  <c r="GL69" i="73" s="1"/>
  <c r="GO74" i="73"/>
  <c r="GN74" i="73"/>
  <c r="GF74" i="73"/>
  <c r="GL74" i="73" s="1"/>
  <c r="GE74" i="73"/>
  <c r="GC74" i="73"/>
  <c r="HW74" i="73"/>
  <c r="GC78" i="73"/>
  <c r="GO79" i="73"/>
  <c r="GC79" i="73"/>
  <c r="GB79" i="73"/>
  <c r="GN79" i="73"/>
  <c r="GF79" i="73"/>
  <c r="GL79" i="73" s="1"/>
  <c r="GE79" i="73"/>
  <c r="GO72" i="73"/>
  <c r="GN72" i="73"/>
  <c r="GF72" i="73"/>
  <c r="GL72" i="73" s="1"/>
  <c r="GE72" i="73"/>
  <c r="GC72" i="73"/>
  <c r="GB72" i="73"/>
  <c r="GB74" i="73"/>
  <c r="GB64" i="73"/>
  <c r="GB68" i="73"/>
  <c r="GO68" i="73"/>
  <c r="GN68" i="73"/>
  <c r="GF68" i="73"/>
  <c r="GL68" i="73" s="1"/>
  <c r="GC69" i="73"/>
  <c r="HW70" i="73"/>
  <c r="HW72" i="73"/>
  <c r="GN63" i="73"/>
  <c r="GC67" i="73"/>
  <c r="GB71" i="73"/>
  <c r="GN71" i="73"/>
  <c r="GF71" i="73"/>
  <c r="GL71" i="73" s="1"/>
  <c r="GE71" i="73"/>
  <c r="GO71" i="73"/>
  <c r="GC71" i="73"/>
  <c r="GO81" i="73"/>
  <c r="GN81" i="73"/>
  <c r="GC81" i="73"/>
  <c r="GB81" i="73"/>
  <c r="HW82" i="73"/>
  <c r="HW71" i="73"/>
  <c r="GC75" i="73"/>
  <c r="GB65" i="73"/>
  <c r="GB66" i="73"/>
  <c r="GB70" i="73"/>
  <c r="GN70" i="73"/>
  <c r="GF70" i="73"/>
  <c r="GL70" i="73" s="1"/>
  <c r="GO73" i="73"/>
  <c r="GN73" i="73"/>
  <c r="GF73" i="73"/>
  <c r="GL73" i="73" s="1"/>
  <c r="GE73" i="73"/>
  <c r="HW73" i="73"/>
  <c r="HW77" i="73"/>
  <c r="GE81" i="73"/>
  <c r="HW69" i="73"/>
  <c r="GF81" i="73"/>
  <c r="GL81" i="73" s="1"/>
  <c r="GB84" i="73"/>
  <c r="GO84" i="73"/>
  <c r="GN84" i="73"/>
  <c r="GF84" i="73"/>
  <c r="GL84" i="73" s="1"/>
  <c r="GE84" i="73"/>
  <c r="GC84" i="73"/>
  <c r="HW85" i="73"/>
  <c r="GB76" i="73"/>
  <c r="GF76" i="73"/>
  <c r="GL76" i="73" s="1"/>
  <c r="GN77" i="73"/>
  <c r="HW78" i="73"/>
  <c r="GO80" i="73"/>
  <c r="GE80" i="73"/>
  <c r="GE77" i="73"/>
  <c r="GO77" i="73"/>
  <c r="HW80" i="73"/>
  <c r="GO82" i="73"/>
  <c r="GN82" i="73"/>
  <c r="GF82" i="73"/>
  <c r="GL82" i="73" s="1"/>
  <c r="HW84" i="73"/>
  <c r="GB86" i="73"/>
  <c r="GO86" i="73"/>
  <c r="GN86" i="73"/>
  <c r="GF86" i="73"/>
  <c r="GL86" i="73" s="1"/>
  <c r="HW79" i="73"/>
  <c r="GB83" i="73"/>
  <c r="GO83" i="73"/>
  <c r="GN83" i="73"/>
  <c r="GF83" i="73"/>
  <c r="GL83" i="73" s="1"/>
  <c r="HW86" i="73"/>
  <c r="GB75" i="73"/>
  <c r="GE75" i="73"/>
  <c r="GO75" i="73"/>
  <c r="GO78" i="73"/>
  <c r="GE78" i="73"/>
  <c r="HW81" i="73"/>
  <c r="GB82" i="73"/>
  <c r="HW83" i="73"/>
  <c r="GB85" i="73"/>
  <c r="GO85" i="73"/>
  <c r="GN85" i="73"/>
  <c r="GF85" i="73"/>
  <c r="GL85" i="73" s="1"/>
  <c r="GC86" i="73"/>
  <c r="FX36" i="106" l="1"/>
  <c r="FX80" i="106"/>
  <c r="GA68" i="106"/>
  <c r="GA64" i="106"/>
  <c r="GA77" i="106"/>
  <c r="FX73" i="106"/>
  <c r="GA67" i="106"/>
  <c r="FX83" i="106"/>
  <c r="GA33" i="106"/>
  <c r="FX32" i="106"/>
  <c r="GH73" i="106"/>
  <c r="GU40" i="106"/>
  <c r="GT26" i="106"/>
  <c r="GU26" i="106"/>
  <c r="FX76" i="106"/>
  <c r="GA47" i="106"/>
  <c r="FX52" i="106"/>
  <c r="FX74" i="106"/>
  <c r="FX33" i="106"/>
  <c r="GU38" i="106"/>
  <c r="GH67" i="106"/>
  <c r="GJ67" i="106" s="1"/>
  <c r="GA36" i="106"/>
  <c r="GU55" i="106"/>
  <c r="FX34" i="106"/>
  <c r="FX35" i="106"/>
  <c r="GA27" i="106"/>
  <c r="FX54" i="106"/>
  <c r="GU46" i="106"/>
  <c r="GA69" i="106"/>
  <c r="GU59" i="106"/>
  <c r="GU57" i="106"/>
  <c r="FX28" i="106"/>
  <c r="GA86" i="106"/>
  <c r="GA54" i="106"/>
  <c r="FX81" i="106"/>
  <c r="FX38" i="106"/>
  <c r="GU41" i="106"/>
  <c r="FX68" i="106"/>
  <c r="FX50" i="106"/>
  <c r="FX29" i="106"/>
  <c r="GU54" i="106"/>
  <c r="GU27" i="106"/>
  <c r="GH54" i="106"/>
  <c r="GJ54" i="106" s="1"/>
  <c r="GA85" i="106"/>
  <c r="GU71" i="106"/>
  <c r="FX27" i="106"/>
  <c r="GA41" i="106"/>
  <c r="GA40" i="106"/>
  <c r="GA84" i="106"/>
  <c r="GA66" i="106"/>
  <c r="GU50" i="106"/>
  <c r="GU67" i="106"/>
  <c r="GU77" i="106"/>
  <c r="GA50" i="106"/>
  <c r="FX77" i="106"/>
  <c r="FX51" i="106"/>
  <c r="FX57" i="106"/>
  <c r="FX66" i="106"/>
  <c r="GA65" i="106"/>
  <c r="GA58" i="106"/>
  <c r="GI77" i="106"/>
  <c r="GJ77" i="106" s="1"/>
  <c r="GU83" i="106"/>
  <c r="GU78" i="106"/>
  <c r="FX59" i="106"/>
  <c r="GU45" i="106"/>
  <c r="FX31" i="106"/>
  <c r="GA57" i="106"/>
  <c r="GH33" i="106"/>
  <c r="GJ33" i="106" s="1"/>
  <c r="FX71" i="106"/>
  <c r="FX72" i="106"/>
  <c r="FX69" i="106"/>
  <c r="GA75" i="106"/>
  <c r="FX46" i="106"/>
  <c r="GA62" i="106"/>
  <c r="FX78" i="106"/>
  <c r="FX47" i="106"/>
  <c r="GA52" i="106"/>
  <c r="FX62" i="106"/>
  <c r="GU80" i="106"/>
  <c r="GA78" i="106"/>
  <c r="FX40" i="106"/>
  <c r="FX63" i="106"/>
  <c r="GA51" i="106"/>
  <c r="GA53" i="106"/>
  <c r="GU53" i="106"/>
  <c r="CK33" i="106"/>
  <c r="CP33" i="106" s="1"/>
  <c r="CZ32" i="106" s="1"/>
  <c r="FR50" i="106" s="1"/>
  <c r="GA31" i="106"/>
  <c r="GA48" i="106"/>
  <c r="GU36" i="106"/>
  <c r="GU84" i="106"/>
  <c r="GU39" i="106"/>
  <c r="GU58" i="106"/>
  <c r="GA63" i="106"/>
  <c r="FX82" i="106"/>
  <c r="GA61" i="106"/>
  <c r="GI35" i="106"/>
  <c r="GJ35" i="106" s="1"/>
  <c r="GH40" i="106"/>
  <c r="GJ40" i="106" s="1"/>
  <c r="GH75" i="106"/>
  <c r="GJ75" i="106" s="1"/>
  <c r="FX26" i="106"/>
  <c r="GH86" i="106"/>
  <c r="GJ86" i="106" s="1"/>
  <c r="GU79" i="106"/>
  <c r="GI64" i="106"/>
  <c r="GJ64" i="106" s="1"/>
  <c r="GU35" i="106"/>
  <c r="GU82" i="106"/>
  <c r="GA26" i="106"/>
  <c r="GA29" i="106"/>
  <c r="DC30" i="106"/>
  <c r="FR49" i="106" s="1"/>
  <c r="FX84" i="106"/>
  <c r="FX30" i="106"/>
  <c r="GH43" i="106"/>
  <c r="GJ43" i="106" s="1"/>
  <c r="GU56" i="106"/>
  <c r="GH41" i="106"/>
  <c r="GJ41" i="106" s="1"/>
  <c r="GA60" i="106"/>
  <c r="GA42" i="106"/>
  <c r="GH62" i="106"/>
  <c r="GJ62" i="106" s="1"/>
  <c r="GH68" i="106"/>
  <c r="GJ68" i="106" s="1"/>
  <c r="GH29" i="106"/>
  <c r="GJ29" i="106" s="1"/>
  <c r="GH63" i="106"/>
  <c r="GJ63" i="106" s="1"/>
  <c r="GA83" i="106"/>
  <c r="GH26" i="106"/>
  <c r="GJ26" i="106" s="1"/>
  <c r="GA55" i="106"/>
  <c r="GA32" i="106"/>
  <c r="GU47" i="106"/>
  <c r="GA28" i="106"/>
  <c r="FX48" i="106"/>
  <c r="GA30" i="106"/>
  <c r="GA49" i="106"/>
  <c r="GA38" i="106"/>
  <c r="GA39" i="106"/>
  <c r="GA72" i="106"/>
  <c r="GA81" i="106"/>
  <c r="FX56" i="106"/>
  <c r="GU30" i="106"/>
  <c r="GU68" i="106"/>
  <c r="GU43" i="106"/>
  <c r="GH61" i="106"/>
  <c r="GJ61" i="106" s="1"/>
  <c r="GU51" i="106"/>
  <c r="CX30" i="106"/>
  <c r="FP49" i="106" s="1"/>
  <c r="GA74" i="106"/>
  <c r="GH47" i="106"/>
  <c r="GJ47" i="106" s="1"/>
  <c r="GU28" i="106"/>
  <c r="GU73" i="106"/>
  <c r="GA56" i="106"/>
  <c r="GA80" i="106"/>
  <c r="GA76" i="106"/>
  <c r="GA44" i="106"/>
  <c r="GH74" i="106"/>
  <c r="GJ74" i="106" s="1"/>
  <c r="GH45" i="106"/>
  <c r="GJ45" i="106" s="1"/>
  <c r="GA82" i="106"/>
  <c r="GU69" i="106"/>
  <c r="GU76" i="106"/>
  <c r="GH50" i="106"/>
  <c r="GJ50" i="106" s="1"/>
  <c r="GA70" i="106"/>
  <c r="GU75" i="106"/>
  <c r="FX43" i="106"/>
  <c r="FX45" i="106"/>
  <c r="GQ37" i="106"/>
  <c r="GM37" i="106"/>
  <c r="GJ27" i="106"/>
  <c r="GJ73" i="106"/>
  <c r="GA37" i="106"/>
  <c r="GH37" i="106"/>
  <c r="GM73" i="106"/>
  <c r="GQ73" i="106"/>
  <c r="GM62" i="106"/>
  <c r="GQ62" i="106"/>
  <c r="GJ78" i="106"/>
  <c r="GQ40" i="106"/>
  <c r="GM40" i="106"/>
  <c r="GM86" i="106"/>
  <c r="GQ86" i="106"/>
  <c r="GJ52" i="106"/>
  <c r="GJ51" i="106"/>
  <c r="GQ69" i="106"/>
  <c r="GM69" i="106"/>
  <c r="GQ60" i="106"/>
  <c r="GT60" i="106" s="1"/>
  <c r="GM60" i="106"/>
  <c r="GJ71" i="106"/>
  <c r="GM48" i="106"/>
  <c r="GQ48" i="106"/>
  <c r="GQ38" i="106"/>
  <c r="GM38" i="106"/>
  <c r="GM34" i="106"/>
  <c r="GQ34" i="106"/>
  <c r="GM49" i="106"/>
  <c r="GQ49" i="106"/>
  <c r="GJ85" i="106"/>
  <c r="FX79" i="106"/>
  <c r="GJ60" i="106"/>
  <c r="GR37" i="106"/>
  <c r="GU37" i="106" s="1"/>
  <c r="GA71" i="106"/>
  <c r="GQ85" i="106"/>
  <c r="GM85" i="106"/>
  <c r="GQ28" i="106"/>
  <c r="GM28" i="106"/>
  <c r="GM70" i="106"/>
  <c r="GQ70" i="106"/>
  <c r="GT70" i="106" s="1"/>
  <c r="GQ74" i="106"/>
  <c r="GM74" i="106"/>
  <c r="GQ41" i="106"/>
  <c r="GM41" i="106"/>
  <c r="GA46" i="106"/>
  <c r="GM72" i="106"/>
  <c r="GQ72" i="106"/>
  <c r="FX44" i="106"/>
  <c r="GQ36" i="106"/>
  <c r="GM36" i="106"/>
  <c r="GM32" i="106"/>
  <c r="GQ32" i="106"/>
  <c r="GM42" i="106"/>
  <c r="GQ42" i="106"/>
  <c r="GR32" i="106"/>
  <c r="GU32" i="106" s="1"/>
  <c r="GU31" i="106"/>
  <c r="GM52" i="106"/>
  <c r="GQ52" i="106"/>
  <c r="GJ58" i="106"/>
  <c r="GR52" i="106"/>
  <c r="GU52" i="106" s="1"/>
  <c r="GM33" i="106"/>
  <c r="GQ33" i="106"/>
  <c r="GQ78" i="106"/>
  <c r="GM78" i="106"/>
  <c r="GQ44" i="106"/>
  <c r="GM44" i="106"/>
  <c r="GQ26" i="106"/>
  <c r="GM26" i="106"/>
  <c r="GJ46" i="106"/>
  <c r="GR33" i="106"/>
  <c r="GU33" i="106" s="1"/>
  <c r="GM50" i="106"/>
  <c r="GQ50" i="106"/>
  <c r="GR62" i="106"/>
  <c r="GU62" i="106" s="1"/>
  <c r="GM79" i="106"/>
  <c r="GQ79" i="106"/>
  <c r="GS79" i="106" s="1"/>
  <c r="GU61" i="106"/>
  <c r="GU72" i="106"/>
  <c r="GQ54" i="106"/>
  <c r="GM54" i="106"/>
  <c r="CQ36" i="106"/>
  <c r="CL37" i="106"/>
  <c r="CV36" i="106" s="1"/>
  <c r="GJ30" i="106"/>
  <c r="GR49" i="106"/>
  <c r="GU49" i="106" s="1"/>
  <c r="GM77" i="106"/>
  <c r="GQ77" i="106"/>
  <c r="GA59" i="106"/>
  <c r="GH59" i="106"/>
  <c r="GA34" i="106"/>
  <c r="GH34" i="106"/>
  <c r="GM27" i="106"/>
  <c r="GQ27" i="106"/>
  <c r="GJ55" i="106"/>
  <c r="GM29" i="106"/>
  <c r="GQ29" i="106"/>
  <c r="GQ39" i="106"/>
  <c r="GS39" i="106" s="1"/>
  <c r="GM39" i="106"/>
  <c r="GM68" i="106"/>
  <c r="GQ68" i="106"/>
  <c r="GQ67" i="106"/>
  <c r="GM67" i="106"/>
  <c r="GQ82" i="106"/>
  <c r="GM82" i="106"/>
  <c r="FX85" i="106"/>
  <c r="GJ80" i="106"/>
  <c r="GJ81" i="106"/>
  <c r="GJ49" i="106"/>
  <c r="GM65" i="106"/>
  <c r="GQ65" i="106"/>
  <c r="GR85" i="106"/>
  <c r="GU85" i="106" s="1"/>
  <c r="GM76" i="106"/>
  <c r="GQ76" i="106"/>
  <c r="GR60" i="106"/>
  <c r="GU60" i="106" s="1"/>
  <c r="GQ75" i="106"/>
  <c r="GM75" i="106"/>
  <c r="GM45" i="106"/>
  <c r="GQ45" i="106"/>
  <c r="GS45" i="106" s="1"/>
  <c r="GJ84" i="106"/>
  <c r="GJ36" i="106"/>
  <c r="GJ66" i="106"/>
  <c r="GA79" i="106"/>
  <c r="GJ44" i="106"/>
  <c r="GM47" i="106"/>
  <c r="GQ47" i="106"/>
  <c r="GJ48" i="106"/>
  <c r="GQ63" i="106"/>
  <c r="GM63" i="106"/>
  <c r="GJ72" i="106"/>
  <c r="GM51" i="106"/>
  <c r="GQ51" i="106"/>
  <c r="GQ31" i="106"/>
  <c r="GM31" i="106"/>
  <c r="GR63" i="106"/>
  <c r="GU63" i="106" s="1"/>
  <c r="GR70" i="106"/>
  <c r="GU70" i="106" s="1"/>
  <c r="GQ57" i="106"/>
  <c r="GM57" i="106"/>
  <c r="GM35" i="106"/>
  <c r="GQ35" i="106"/>
  <c r="FX70" i="106"/>
  <c r="GJ42" i="106"/>
  <c r="GJ79" i="106"/>
  <c r="GJ32" i="106"/>
  <c r="GQ43" i="106"/>
  <c r="GS43" i="106" s="1"/>
  <c r="GM43" i="106"/>
  <c r="GJ70" i="106"/>
  <c r="GQ81" i="106"/>
  <c r="GM81" i="106"/>
  <c r="GM61" i="106"/>
  <c r="GQ61" i="106"/>
  <c r="GQ66" i="106"/>
  <c r="GM66" i="106"/>
  <c r="GQ58" i="106"/>
  <c r="GM58" i="106"/>
  <c r="GQ55" i="106"/>
  <c r="GS55" i="106" s="1"/>
  <c r="GM55" i="106"/>
  <c r="GJ65" i="106"/>
  <c r="GU65" i="106"/>
  <c r="FP51" i="106"/>
  <c r="CU24" i="106"/>
  <c r="BC42" i="106"/>
  <c r="FP55" i="106" s="1"/>
  <c r="GJ69" i="106"/>
  <c r="GM53" i="106"/>
  <c r="GQ53" i="106"/>
  <c r="FX55" i="106"/>
  <c r="FX39" i="106"/>
  <c r="GQ59" i="106"/>
  <c r="GM59" i="106"/>
  <c r="GM64" i="106"/>
  <c r="GQ64" i="106"/>
  <c r="BV50" i="106"/>
  <c r="GQ84" i="106"/>
  <c r="GM84" i="106"/>
  <c r="GJ82" i="106"/>
  <c r="GJ56" i="106"/>
  <c r="GJ57" i="106"/>
  <c r="GR34" i="106"/>
  <c r="GU34" i="106" s="1"/>
  <c r="GJ53" i="106"/>
  <c r="GR66" i="106"/>
  <c r="GU66" i="106" s="1"/>
  <c r="DS34" i="106"/>
  <c r="CU25" i="106" s="1"/>
  <c r="DA25" i="106" s="1"/>
  <c r="GJ39" i="106"/>
  <c r="GQ71" i="106"/>
  <c r="GM71" i="106"/>
  <c r="GM83" i="106"/>
  <c r="GQ83" i="106"/>
  <c r="GR42" i="106"/>
  <c r="GU42" i="106" s="1"/>
  <c r="GJ38" i="106"/>
  <c r="GQ46" i="106"/>
  <c r="GM46" i="106"/>
  <c r="GJ28" i="106"/>
  <c r="GQ56" i="106"/>
  <c r="GM56" i="106"/>
  <c r="GM80" i="106"/>
  <c r="GQ80" i="106"/>
  <c r="GJ76" i="106"/>
  <c r="FX60" i="106"/>
  <c r="GR74" i="106"/>
  <c r="GU74" i="106" s="1"/>
  <c r="GR44" i="106"/>
  <c r="GU44" i="106" s="1"/>
  <c r="GQ30" i="106"/>
  <c r="GM30" i="106"/>
  <c r="GR29" i="106"/>
  <c r="GU29" i="106" s="1"/>
  <c r="GJ83" i="106"/>
  <c r="FX61" i="106"/>
  <c r="GJ31" i="106"/>
  <c r="GR48" i="106"/>
  <c r="GU48" i="106" s="1"/>
  <c r="GP27" i="73"/>
  <c r="GD39" i="73"/>
  <c r="GP28" i="73"/>
  <c r="GP33" i="73"/>
  <c r="GD36" i="73"/>
  <c r="GD46" i="73"/>
  <c r="GD35" i="73"/>
  <c r="GP39" i="73"/>
  <c r="GD44" i="73"/>
  <c r="GD73" i="73"/>
  <c r="GP57" i="73"/>
  <c r="GP48" i="73"/>
  <c r="GD70" i="73"/>
  <c r="GD66" i="73"/>
  <c r="GD33" i="73"/>
  <c r="GP86" i="73"/>
  <c r="GD81" i="73"/>
  <c r="GP68" i="73"/>
  <c r="GP62" i="73"/>
  <c r="GD30" i="73"/>
  <c r="GD65" i="73"/>
  <c r="GD74" i="73"/>
  <c r="GD63" i="73"/>
  <c r="GP59" i="73"/>
  <c r="GP56" i="73"/>
  <c r="GP55" i="73"/>
  <c r="GD83" i="73"/>
  <c r="GP82" i="73"/>
  <c r="GD72" i="73"/>
  <c r="GP61" i="73"/>
  <c r="GP52" i="73"/>
  <c r="GD49" i="73"/>
  <c r="GP38" i="73"/>
  <c r="GR35" i="73"/>
  <c r="GP67" i="73"/>
  <c r="GP65" i="73"/>
  <c r="GP40" i="73"/>
  <c r="GP81" i="73"/>
  <c r="GP44" i="73"/>
  <c r="GP36" i="73"/>
  <c r="GD47" i="73"/>
  <c r="GP37" i="73"/>
  <c r="GP34" i="73"/>
  <c r="GD80" i="73"/>
  <c r="GD82" i="73"/>
  <c r="GP83" i="73"/>
  <c r="GP63" i="73"/>
  <c r="GD64" i="73"/>
  <c r="GD69" i="73"/>
  <c r="GD43" i="73"/>
  <c r="GD28" i="73"/>
  <c r="GD51" i="73"/>
  <c r="GD56" i="73"/>
  <c r="GD59" i="73"/>
  <c r="GP77" i="73"/>
  <c r="GD62" i="73"/>
  <c r="GP43" i="73"/>
  <c r="GD38" i="73"/>
  <c r="GP76" i="73"/>
  <c r="GP30" i="73"/>
  <c r="GP79" i="73"/>
  <c r="GD76" i="73"/>
  <c r="GP45" i="73"/>
  <c r="GD50" i="73"/>
  <c r="GD60" i="73"/>
  <c r="GD77" i="73"/>
  <c r="GD40" i="73"/>
  <c r="GD86" i="73"/>
  <c r="GD68" i="73"/>
  <c r="GD61" i="73"/>
  <c r="GP42" i="73"/>
  <c r="GP54" i="73"/>
  <c r="GK34" i="73"/>
  <c r="GG34" i="73"/>
  <c r="GG79" i="73"/>
  <c r="GK79" i="73"/>
  <c r="GR79" i="73" s="1"/>
  <c r="GK61" i="73"/>
  <c r="GR61" i="73" s="1"/>
  <c r="GG61" i="73"/>
  <c r="GK46" i="73"/>
  <c r="GG46" i="73"/>
  <c r="GP50" i="73"/>
  <c r="GG26" i="73"/>
  <c r="GK26" i="73"/>
  <c r="GP46" i="73"/>
  <c r="GD52" i="73"/>
  <c r="GG64" i="73"/>
  <c r="GK64" i="73"/>
  <c r="GR64" i="73" s="1"/>
  <c r="GG68" i="73"/>
  <c r="GK68" i="73"/>
  <c r="GR68" i="73" s="1"/>
  <c r="GD78" i="73"/>
  <c r="GG55" i="73"/>
  <c r="GK55" i="73"/>
  <c r="GR55" i="73" s="1"/>
  <c r="GG39" i="73"/>
  <c r="GK39" i="73"/>
  <c r="GR39" i="73" s="1"/>
  <c r="GG78" i="73"/>
  <c r="GK78" i="73"/>
  <c r="GR78" i="73" s="1"/>
  <c r="GP84" i="73"/>
  <c r="GG73" i="73"/>
  <c r="GK73" i="73"/>
  <c r="GG74" i="73"/>
  <c r="GK74" i="73"/>
  <c r="GR74" i="73" s="1"/>
  <c r="GK43" i="73"/>
  <c r="GR43" i="73" s="1"/>
  <c r="GG43" i="73"/>
  <c r="GG42" i="73"/>
  <c r="GK42" i="73"/>
  <c r="GR42" i="73" s="1"/>
  <c r="GK41" i="73"/>
  <c r="GR41" i="73" s="1"/>
  <c r="GG41" i="73"/>
  <c r="AJ39" i="73"/>
  <c r="AP39" i="73" s="1"/>
  <c r="FZ18" i="73"/>
  <c r="AJ37" i="73" s="1"/>
  <c r="FR20" i="73"/>
  <c r="GK33" i="73"/>
  <c r="GR33" i="73" s="1"/>
  <c r="GG33" i="73"/>
  <c r="GD42" i="73"/>
  <c r="GK44" i="73"/>
  <c r="GR44" i="73" s="1"/>
  <c r="GG44" i="73"/>
  <c r="GD53" i="73"/>
  <c r="GP66" i="73"/>
  <c r="GK65" i="73"/>
  <c r="GR65" i="73" s="1"/>
  <c r="GG65" i="73"/>
  <c r="GG86" i="73"/>
  <c r="GK86" i="73"/>
  <c r="GR86" i="73" s="1"/>
  <c r="GG40" i="73"/>
  <c r="GK40" i="73"/>
  <c r="GR40" i="73" s="1"/>
  <c r="GP29" i="73"/>
  <c r="GP32" i="73"/>
  <c r="GG69" i="73"/>
  <c r="GK69" i="73"/>
  <c r="GP85" i="73"/>
  <c r="GD84" i="73"/>
  <c r="GP73" i="73"/>
  <c r="GG71" i="73"/>
  <c r="GK71" i="73"/>
  <c r="GR71" i="73" s="1"/>
  <c r="GD79" i="73"/>
  <c r="GP74" i="73"/>
  <c r="GK62" i="73"/>
  <c r="GR62" i="73" s="1"/>
  <c r="GG62" i="73"/>
  <c r="GG52" i="73"/>
  <c r="GK52" i="73"/>
  <c r="GR52" i="73" s="1"/>
  <c r="GG50" i="73"/>
  <c r="GK50" i="73"/>
  <c r="GR50" i="73" s="1"/>
  <c r="GD41" i="73"/>
  <c r="GP51" i="73"/>
  <c r="GD34" i="73"/>
  <c r="DD35" i="73"/>
  <c r="GP35" i="73"/>
  <c r="GG30" i="73"/>
  <c r="GK30" i="73"/>
  <c r="GR30" i="73" s="1"/>
  <c r="GD58" i="73"/>
  <c r="GP64" i="73"/>
  <c r="GK76" i="73"/>
  <c r="GR76" i="73" s="1"/>
  <c r="GG76" i="73"/>
  <c r="GG82" i="73"/>
  <c r="GK82" i="73"/>
  <c r="GR82" i="73" s="1"/>
  <c r="GP75" i="73"/>
  <c r="GK38" i="73"/>
  <c r="GR38" i="73" s="1"/>
  <c r="GG38" i="73"/>
  <c r="GK54" i="73"/>
  <c r="GG54" i="73"/>
  <c r="GG85" i="73"/>
  <c r="GK85" i="73"/>
  <c r="GR85" i="73" s="1"/>
  <c r="GG72" i="73"/>
  <c r="GK72" i="73"/>
  <c r="GK57" i="73"/>
  <c r="GR57" i="73" s="1"/>
  <c r="GG57" i="73"/>
  <c r="GD55" i="73"/>
  <c r="GP49" i="73"/>
  <c r="GD31" i="73"/>
  <c r="GK28" i="73"/>
  <c r="GG28" i="73"/>
  <c r="CL36" i="73"/>
  <c r="GK47" i="73"/>
  <c r="GR47" i="73" s="1"/>
  <c r="GG47" i="73"/>
  <c r="GP78" i="73"/>
  <c r="GD26" i="73"/>
  <c r="GD75" i="73"/>
  <c r="GP71" i="73"/>
  <c r="GD57" i="73"/>
  <c r="GK58" i="73"/>
  <c r="GG58" i="73"/>
  <c r="GD48" i="73"/>
  <c r="GG60" i="73"/>
  <c r="GK60" i="73"/>
  <c r="GP47" i="73"/>
  <c r="GG37" i="73"/>
  <c r="GK37" i="73"/>
  <c r="GR37" i="73" s="1"/>
  <c r="GG51" i="73"/>
  <c r="GK51" i="73"/>
  <c r="GK49" i="73"/>
  <c r="GR49" i="73" s="1"/>
  <c r="GG49" i="73"/>
  <c r="DD34" i="73"/>
  <c r="GK27" i="73"/>
  <c r="GR27" i="73" s="1"/>
  <c r="GG27" i="73"/>
  <c r="GK56" i="73"/>
  <c r="GG56" i="73"/>
  <c r="GD54" i="73"/>
  <c r="GD67" i="73"/>
  <c r="GP41" i="73"/>
  <c r="GP26" i="73"/>
  <c r="GK75" i="73"/>
  <c r="GG75" i="73"/>
  <c r="GD85" i="73"/>
  <c r="GG77" i="73"/>
  <c r="GK77" i="73"/>
  <c r="GR77" i="73" s="1"/>
  <c r="GG81" i="73"/>
  <c r="GK81" i="73"/>
  <c r="GR81" i="73" s="1"/>
  <c r="GP70" i="73"/>
  <c r="GD71" i="73"/>
  <c r="GP72" i="73"/>
  <c r="GP69" i="73"/>
  <c r="GK63" i="73"/>
  <c r="GR63" i="73" s="1"/>
  <c r="GG63" i="73"/>
  <c r="GP80" i="73"/>
  <c r="GD29" i="73"/>
  <c r="GP31" i="73"/>
  <c r="GD32" i="73"/>
  <c r="GQ35" i="73"/>
  <c r="GM35" i="73"/>
  <c r="GK70" i="73"/>
  <c r="GR70" i="73" s="1"/>
  <c r="GG70" i="73"/>
  <c r="GG80" i="73"/>
  <c r="GK80" i="73"/>
  <c r="GG84" i="73"/>
  <c r="GK84" i="73"/>
  <c r="GK59" i="73"/>
  <c r="GG59" i="73"/>
  <c r="GP58" i="73"/>
  <c r="GK48" i="73"/>
  <c r="GG48" i="73"/>
  <c r="GG45" i="73"/>
  <c r="GK45" i="73"/>
  <c r="GR45" i="73" s="1"/>
  <c r="GP60" i="73"/>
  <c r="GK31" i="73"/>
  <c r="GR31" i="73" s="1"/>
  <c r="GG31" i="73"/>
  <c r="GD37" i="73"/>
  <c r="GK36" i="73"/>
  <c r="GR36" i="73" s="1"/>
  <c r="GG36" i="73"/>
  <c r="GD45" i="73"/>
  <c r="GK67" i="73"/>
  <c r="GR67" i="73" s="1"/>
  <c r="GG67" i="73"/>
  <c r="GK66" i="73"/>
  <c r="GR66" i="73" s="1"/>
  <c r="GG66" i="73"/>
  <c r="GK53" i="73"/>
  <c r="GR53" i="73" s="1"/>
  <c r="GG53" i="73"/>
  <c r="GG83" i="73"/>
  <c r="GK83" i="73"/>
  <c r="GG29" i="73"/>
  <c r="GK29" i="73"/>
  <c r="GG32" i="73"/>
  <c r="GK32" i="73"/>
  <c r="GG35" i="73"/>
  <c r="HS27" i="72"/>
  <c r="HS28" i="72"/>
  <c r="HS29" i="72"/>
  <c r="HS30" i="72"/>
  <c r="HS31" i="72"/>
  <c r="HS32" i="72"/>
  <c r="HS33" i="72"/>
  <c r="HS34" i="72"/>
  <c r="HS35" i="72"/>
  <c r="HS36" i="72"/>
  <c r="HS37" i="72"/>
  <c r="HS38" i="72"/>
  <c r="HS39" i="72"/>
  <c r="HS40" i="72"/>
  <c r="HS41" i="72"/>
  <c r="HS42" i="72"/>
  <c r="HS43" i="72"/>
  <c r="HS44" i="72"/>
  <c r="HS45" i="72"/>
  <c r="HS46" i="72"/>
  <c r="HS47" i="72"/>
  <c r="HS48" i="72"/>
  <c r="HS49" i="72"/>
  <c r="HS50" i="72"/>
  <c r="HS51" i="72"/>
  <c r="HS52" i="72"/>
  <c r="HS53" i="72"/>
  <c r="HS54" i="72"/>
  <c r="HS55" i="72"/>
  <c r="HS56" i="72"/>
  <c r="HS57" i="72"/>
  <c r="HS58" i="72"/>
  <c r="HS59" i="72"/>
  <c r="HS60" i="72"/>
  <c r="HS61" i="72"/>
  <c r="HS62" i="72"/>
  <c r="HS63" i="72"/>
  <c r="HS64" i="72"/>
  <c r="HS65" i="72"/>
  <c r="HS66" i="72"/>
  <c r="HS67" i="72"/>
  <c r="HS68" i="72"/>
  <c r="HS69" i="72"/>
  <c r="HS70" i="72"/>
  <c r="HS71" i="72"/>
  <c r="HS72" i="72"/>
  <c r="HS73" i="72"/>
  <c r="HS74" i="72"/>
  <c r="HS75" i="72"/>
  <c r="HS76" i="72"/>
  <c r="HS77" i="72"/>
  <c r="HS78" i="72"/>
  <c r="HS79" i="72"/>
  <c r="HS80" i="72"/>
  <c r="HS81" i="72"/>
  <c r="HS82" i="72"/>
  <c r="HS83" i="72"/>
  <c r="HS84" i="72"/>
  <c r="HS85" i="72"/>
  <c r="HS86" i="72"/>
  <c r="HS26" i="72"/>
  <c r="FP19" i="72"/>
  <c r="FP21" i="72"/>
  <c r="CU32" i="106" l="1"/>
  <c r="CK38" i="106" s="1"/>
  <c r="CP38" i="106"/>
  <c r="FR53" i="106" s="1"/>
  <c r="GV60" i="106"/>
  <c r="BP50" i="106"/>
  <c r="CW10" i="106" s="1"/>
  <c r="GT39" i="106"/>
  <c r="GV39" i="106" s="1"/>
  <c r="GT55" i="106"/>
  <c r="GV55" i="106" s="1"/>
  <c r="GT79" i="106"/>
  <c r="GV79" i="106" s="1"/>
  <c r="GW70" i="106"/>
  <c r="GZ70" i="106" s="1"/>
  <c r="GJ37" i="106"/>
  <c r="GS71" i="106"/>
  <c r="GT71" i="106"/>
  <c r="FP27" i="106"/>
  <c r="GS51" i="106"/>
  <c r="GT51" i="106"/>
  <c r="GS29" i="106"/>
  <c r="GT29" i="106"/>
  <c r="GS54" i="106"/>
  <c r="GT54" i="106"/>
  <c r="GS44" i="106"/>
  <c r="GT44" i="106"/>
  <c r="GS62" i="106"/>
  <c r="GT62" i="106"/>
  <c r="GS59" i="106"/>
  <c r="GT59" i="106"/>
  <c r="DI24" i="106"/>
  <c r="GJ59" i="106"/>
  <c r="GS50" i="106"/>
  <c r="GT50" i="106"/>
  <c r="GS36" i="106"/>
  <c r="GT36" i="106"/>
  <c r="GS74" i="106"/>
  <c r="GT74" i="106"/>
  <c r="GS46" i="106"/>
  <c r="GT46" i="106"/>
  <c r="GS81" i="106"/>
  <c r="GT81" i="106"/>
  <c r="FR52" i="106"/>
  <c r="BP40" i="106"/>
  <c r="CF40" i="106" s="1"/>
  <c r="GV70" i="106"/>
  <c r="GX70" i="106"/>
  <c r="GX60" i="106"/>
  <c r="GS70" i="106"/>
  <c r="GS38" i="106"/>
  <c r="GT38" i="106"/>
  <c r="GS65" i="106"/>
  <c r="GT65" i="106"/>
  <c r="GS77" i="106"/>
  <c r="GT77" i="106"/>
  <c r="GS60" i="106"/>
  <c r="GS86" i="106"/>
  <c r="GT86" i="106"/>
  <c r="GS37" i="106"/>
  <c r="GT37" i="106"/>
  <c r="GW37" i="106" s="1"/>
  <c r="GS35" i="106"/>
  <c r="GT35" i="106"/>
  <c r="GS82" i="106"/>
  <c r="GT82" i="106"/>
  <c r="GS78" i="106"/>
  <c r="GT78" i="106"/>
  <c r="GS72" i="106"/>
  <c r="GT72" i="106"/>
  <c r="GS58" i="106"/>
  <c r="GT58" i="106"/>
  <c r="GS75" i="106"/>
  <c r="GT75" i="106"/>
  <c r="GS33" i="106"/>
  <c r="GT33" i="106"/>
  <c r="GS28" i="106"/>
  <c r="GT28" i="106"/>
  <c r="GS63" i="106"/>
  <c r="GT63" i="106"/>
  <c r="GS67" i="106"/>
  <c r="GT67" i="106"/>
  <c r="GS27" i="106"/>
  <c r="GT27" i="106"/>
  <c r="GS42" i="106"/>
  <c r="GT42" i="106"/>
  <c r="GS48" i="106"/>
  <c r="GT48" i="106"/>
  <c r="GS40" i="106"/>
  <c r="GT40" i="106"/>
  <c r="GS73" i="106"/>
  <c r="GT73" i="106"/>
  <c r="GT45" i="106"/>
  <c r="GS30" i="106"/>
  <c r="GT30" i="106"/>
  <c r="GS80" i="106"/>
  <c r="GT80" i="106"/>
  <c r="FR51" i="106"/>
  <c r="FP29" i="106" s="1"/>
  <c r="DA24" i="106"/>
  <c r="DO24" i="106" s="1"/>
  <c r="BH42" i="106"/>
  <c r="FR55" i="106" s="1"/>
  <c r="FP33" i="106" s="1"/>
  <c r="GS84" i="106"/>
  <c r="GT84" i="106"/>
  <c r="GS66" i="106"/>
  <c r="GT66" i="106"/>
  <c r="GS57" i="106"/>
  <c r="GT57" i="106"/>
  <c r="GS68" i="106"/>
  <c r="GT68" i="106"/>
  <c r="GS85" i="106"/>
  <c r="GT85" i="106"/>
  <c r="GS69" i="106"/>
  <c r="GT69" i="106"/>
  <c r="GT43" i="106"/>
  <c r="FR56" i="106"/>
  <c r="GS47" i="106"/>
  <c r="GT47" i="106"/>
  <c r="GS49" i="106"/>
  <c r="GT49" i="106"/>
  <c r="GS53" i="106"/>
  <c r="GT53" i="106"/>
  <c r="GS56" i="106"/>
  <c r="GT56" i="106"/>
  <c r="GS64" i="106"/>
  <c r="GT64" i="106"/>
  <c r="GS76" i="106"/>
  <c r="GT76" i="106"/>
  <c r="FP52" i="106"/>
  <c r="BK40" i="106"/>
  <c r="CA40" i="106" s="1"/>
  <c r="GS26" i="106"/>
  <c r="GS32" i="106"/>
  <c r="GT32" i="106"/>
  <c r="GS41" i="106"/>
  <c r="GT41" i="106"/>
  <c r="GS83" i="106"/>
  <c r="GT83" i="106"/>
  <c r="GS61" i="106"/>
  <c r="GT61" i="106"/>
  <c r="GS31" i="106"/>
  <c r="GT31" i="106"/>
  <c r="GJ34" i="106"/>
  <c r="GS52" i="106"/>
  <c r="GT52" i="106"/>
  <c r="GW60" i="106"/>
  <c r="GS34" i="106"/>
  <c r="GT34" i="106"/>
  <c r="GW34" i="106" s="1"/>
  <c r="HW23" i="72"/>
  <c r="HW78" i="72" s="1"/>
  <c r="GS35" i="73"/>
  <c r="GQ72" i="73"/>
  <c r="GM72" i="73"/>
  <c r="GQ51" i="73"/>
  <c r="GM51" i="73"/>
  <c r="GQ73" i="73"/>
  <c r="GM73" i="73"/>
  <c r="GQ39" i="73"/>
  <c r="GS39" i="73" s="1"/>
  <c r="GM39" i="73"/>
  <c r="GQ47" i="73"/>
  <c r="GS47" i="73" s="1"/>
  <c r="GM47" i="73"/>
  <c r="GQ40" i="73"/>
  <c r="GS40" i="73" s="1"/>
  <c r="GM40" i="73"/>
  <c r="FZ81" i="73"/>
  <c r="GI81" i="73" s="1"/>
  <c r="FY82" i="73"/>
  <c r="FW86" i="73"/>
  <c r="FW80" i="73"/>
  <c r="FV80" i="73"/>
  <c r="FW74" i="73"/>
  <c r="FV64" i="73"/>
  <c r="FV81" i="73"/>
  <c r="FZ66" i="73"/>
  <c r="GI66" i="73" s="1"/>
  <c r="FW61" i="73"/>
  <c r="FV61" i="73"/>
  <c r="FW65" i="73"/>
  <c r="FZ60" i="73"/>
  <c r="GI60" i="73" s="1"/>
  <c r="FZ49" i="73"/>
  <c r="GI49" i="73" s="1"/>
  <c r="FY52" i="73"/>
  <c r="FY57" i="73"/>
  <c r="FW50" i="73"/>
  <c r="FV41" i="73"/>
  <c r="FY45" i="73"/>
  <c r="FW45" i="73"/>
  <c r="FZ46" i="73"/>
  <c r="GI46" i="73" s="1"/>
  <c r="FZ29" i="73"/>
  <c r="GI29" i="73" s="1"/>
  <c r="FY32" i="73"/>
  <c r="FY41" i="73"/>
  <c r="FW26" i="73"/>
  <c r="FY35" i="73"/>
  <c r="FV55" i="73"/>
  <c r="FV32" i="73"/>
  <c r="FY46" i="73"/>
  <c r="FW35" i="73"/>
  <c r="FV28" i="73"/>
  <c r="FZ80" i="73"/>
  <c r="GI80" i="73" s="1"/>
  <c r="FY81" i="73"/>
  <c r="FV83" i="73"/>
  <c r="FV77" i="73"/>
  <c r="FW76" i="73"/>
  <c r="FW73" i="73"/>
  <c r="FV63" i="73"/>
  <c r="FY69" i="73"/>
  <c r="FZ65" i="73"/>
  <c r="GI65" i="73" s="1"/>
  <c r="FW60" i="73"/>
  <c r="FV60" i="73"/>
  <c r="FZ64" i="73"/>
  <c r="GI64" i="73" s="1"/>
  <c r="FZ59" i="73"/>
  <c r="GI59" i="73" s="1"/>
  <c r="FV78" i="73"/>
  <c r="FW85" i="73"/>
  <c r="FY55" i="73"/>
  <c r="FV47" i="73"/>
  <c r="FV74" i="73"/>
  <c r="FV43" i="73"/>
  <c r="FZ44" i="73"/>
  <c r="GI44" i="73" s="1"/>
  <c r="FZ43" i="73"/>
  <c r="GI43" i="73" s="1"/>
  <c r="FV27" i="73"/>
  <c r="CP32" i="73"/>
  <c r="FZ40" i="73"/>
  <c r="GI40" i="73" s="1"/>
  <c r="FW40" i="73"/>
  <c r="FW32" i="73"/>
  <c r="FY47" i="73"/>
  <c r="CN30" i="73"/>
  <c r="FV40" i="73"/>
  <c r="FY34" i="73"/>
  <c r="FW27" i="73"/>
  <c r="FV75" i="73"/>
  <c r="FV36" i="73"/>
  <c r="FY27" i="73"/>
  <c r="FZ79" i="73"/>
  <c r="GI79" i="73" s="1"/>
  <c r="FY80" i="73"/>
  <c r="FW82" i="73"/>
  <c r="FY74" i="73"/>
  <c r="FZ75" i="73"/>
  <c r="GI75" i="73" s="1"/>
  <c r="FW72" i="73"/>
  <c r="FW75" i="73"/>
  <c r="FY68" i="73"/>
  <c r="FV68" i="73"/>
  <c r="FW59" i="73"/>
  <c r="FV59" i="73"/>
  <c r="FW71" i="73"/>
  <c r="FW68" i="73"/>
  <c r="FV69" i="73"/>
  <c r="FY58" i="73"/>
  <c r="FW52" i="73"/>
  <c r="FV44" i="73"/>
  <c r="FV71" i="73"/>
  <c r="FY42" i="73"/>
  <c r="FW42" i="73"/>
  <c r="FV45" i="73"/>
  <c r="FY26" i="73"/>
  <c r="FW31" i="73"/>
  <c r="FY39" i="73"/>
  <c r="FW51" i="73"/>
  <c r="FY30" i="73"/>
  <c r="FW41" i="73"/>
  <c r="FV29" i="73"/>
  <c r="FV35" i="73"/>
  <c r="FW33" i="73"/>
  <c r="FZ26" i="73"/>
  <c r="GI26" i="73" s="1"/>
  <c r="FV72" i="73"/>
  <c r="FZ86" i="73"/>
  <c r="GI86" i="73" s="1"/>
  <c r="FZ78" i="73"/>
  <c r="GI78" i="73" s="1"/>
  <c r="FY79" i="73"/>
  <c r="FW77" i="73"/>
  <c r="FY73" i="73"/>
  <c r="FV84" i="73"/>
  <c r="FV85" i="73"/>
  <c r="FV73" i="73"/>
  <c r="FZ67" i="73"/>
  <c r="GI67" i="73" s="1"/>
  <c r="FW64" i="73"/>
  <c r="FW58" i="73"/>
  <c r="FV58" i="73"/>
  <c r="FW67" i="73"/>
  <c r="FV67" i="73"/>
  <c r="FY62" i="73"/>
  <c r="FW56" i="73"/>
  <c r="FY51" i="73"/>
  <c r="FW48" i="73"/>
  <c r="FV57" i="73"/>
  <c r="FY53" i="73"/>
  <c r="FY65" i="73"/>
  <c r="FV38" i="73"/>
  <c r="FY44" i="73"/>
  <c r="FY29" i="73"/>
  <c r="FZ35" i="73"/>
  <c r="GI35" i="73" s="1"/>
  <c r="FW49" i="73"/>
  <c r="CS30" i="73"/>
  <c r="FW39" i="73"/>
  <c r="FY28" i="73"/>
  <c r="FZ34" i="73"/>
  <c r="GI34" i="73" s="1"/>
  <c r="FW36" i="73"/>
  <c r="FW38" i="73"/>
  <c r="FV54" i="73"/>
  <c r="FZ85" i="73"/>
  <c r="GI85" i="73" s="1"/>
  <c r="FY86" i="73"/>
  <c r="FY78" i="73"/>
  <c r="FY76" i="73"/>
  <c r="FY72" i="73"/>
  <c r="FW81" i="73"/>
  <c r="FZ73" i="73"/>
  <c r="GI73" i="73" s="1"/>
  <c r="FV70" i="73"/>
  <c r="FV79" i="73"/>
  <c r="FZ63" i="73"/>
  <c r="GI63" i="73" s="1"/>
  <c r="FW78" i="73"/>
  <c r="FZ57" i="73"/>
  <c r="GI57" i="73" s="1"/>
  <c r="FW66" i="73"/>
  <c r="FZ56" i="73"/>
  <c r="GI56" i="73" s="1"/>
  <c r="FY59" i="73"/>
  <c r="FZ55" i="73"/>
  <c r="GI55" i="73" s="1"/>
  <c r="FW57" i="73"/>
  <c r="FW46" i="73"/>
  <c r="FZ54" i="73"/>
  <c r="GI54" i="73" s="1"/>
  <c r="FV52" i="73"/>
  <c r="FV51" i="73"/>
  <c r="FZ37" i="73"/>
  <c r="GI37" i="73" s="1"/>
  <c r="FZ41" i="73"/>
  <c r="GI41" i="73" s="1"/>
  <c r="FY38" i="73"/>
  <c r="FV34" i="73"/>
  <c r="FY48" i="73"/>
  <c r="FW29" i="73"/>
  <c r="FZ38" i="73"/>
  <c r="GI38" i="73" s="1"/>
  <c r="FZ27" i="73"/>
  <c r="GI27" i="73" s="1"/>
  <c r="FZ31" i="73"/>
  <c r="GI31" i="73" s="1"/>
  <c r="FY33" i="73"/>
  <c r="FZ84" i="73"/>
  <c r="GI84" i="73" s="1"/>
  <c r="FY85" i="73"/>
  <c r="FZ77" i="73"/>
  <c r="GI77" i="73" s="1"/>
  <c r="FZ74" i="73"/>
  <c r="GI74" i="73" s="1"/>
  <c r="FZ71" i="73"/>
  <c r="GI71" i="73" s="1"/>
  <c r="FW79" i="73"/>
  <c r="FW70" i="73"/>
  <c r="FZ72" i="73"/>
  <c r="GI72" i="73" s="1"/>
  <c r="FY77" i="73"/>
  <c r="FV56" i="73"/>
  <c r="FY64" i="73"/>
  <c r="FZ58" i="73"/>
  <c r="GI58" i="73" s="1"/>
  <c r="FV53" i="73"/>
  <c r="FW55" i="73"/>
  <c r="FZ45" i="73"/>
  <c r="GI45" i="73" s="1"/>
  <c r="FZ53" i="73"/>
  <c r="GI53" i="73" s="1"/>
  <c r="FY49" i="73"/>
  <c r="FY50" i="73"/>
  <c r="FZ39" i="73"/>
  <c r="GI39" i="73" s="1"/>
  <c r="FY61" i="73"/>
  <c r="FV42" i="73"/>
  <c r="FZ50" i="73"/>
  <c r="GI50" i="73" s="1"/>
  <c r="CN31" i="73"/>
  <c r="FZ83" i="73"/>
  <c r="GI83" i="73" s="1"/>
  <c r="FY84" i="73"/>
  <c r="FZ76" i="73"/>
  <c r="GI76" i="73" s="1"/>
  <c r="FV86" i="73"/>
  <c r="FZ70" i="73"/>
  <c r="GI70" i="73" s="1"/>
  <c r="FV76" i="73"/>
  <c r="FV66" i="73"/>
  <c r="FZ69" i="73"/>
  <c r="GI69" i="73" s="1"/>
  <c r="FY71" i="73"/>
  <c r="FY63" i="73"/>
  <c r="FW69" i="73"/>
  <c r="FY66" i="73"/>
  <c r="FZ62" i="73"/>
  <c r="GI62" i="73" s="1"/>
  <c r="FZ52" i="73"/>
  <c r="GI52" i="73" s="1"/>
  <c r="FY56" i="73"/>
  <c r="FZ51" i="73"/>
  <c r="GI51" i="73" s="1"/>
  <c r="FY54" i="73"/>
  <c r="FW43" i="73"/>
  <c r="FV48" i="73"/>
  <c r="FW54" i="73"/>
  <c r="FV49" i="73"/>
  <c r="FV33" i="73"/>
  <c r="FY37" i="73"/>
  <c r="FW44" i="73"/>
  <c r="FV31" i="73"/>
  <c r="FY40" i="73"/>
  <c r="FV26" i="73"/>
  <c r="FZ36" i="73"/>
  <c r="GI36" i="73" s="1"/>
  <c r="FW47" i="73"/>
  <c r="FV30" i="73"/>
  <c r="FY31" i="73"/>
  <c r="FV37" i="73"/>
  <c r="FZ82" i="73"/>
  <c r="GI82" i="73" s="1"/>
  <c r="FY83" i="73"/>
  <c r="FW83" i="73"/>
  <c r="FV82" i="73"/>
  <c r="FW84" i="73"/>
  <c r="FY75" i="73"/>
  <c r="FV65" i="73"/>
  <c r="FZ68" i="73"/>
  <c r="GI68" i="73" s="1"/>
  <c r="FY67" i="73"/>
  <c r="FW62" i="73"/>
  <c r="FV62" i="73"/>
  <c r="FY70" i="73"/>
  <c r="FZ61" i="73"/>
  <c r="GI61" i="73" s="1"/>
  <c r="FV50" i="73"/>
  <c r="FW53" i="73"/>
  <c r="FY60" i="73"/>
  <c r="FW63" i="73"/>
  <c r="FZ42" i="73"/>
  <c r="GI42" i="73" s="1"/>
  <c r="FV46" i="73"/>
  <c r="FZ47" i="73"/>
  <c r="GI47" i="73" s="1"/>
  <c r="FZ48" i="73"/>
  <c r="GI48" i="73" s="1"/>
  <c r="FZ32" i="73"/>
  <c r="GI32" i="73" s="1"/>
  <c r="FW34" i="73"/>
  <c r="FY43" i="73"/>
  <c r="FZ30" i="73"/>
  <c r="GI30" i="73" s="1"/>
  <c r="FW37" i="73"/>
  <c r="FY36" i="73"/>
  <c r="FZ33" i="73"/>
  <c r="GI33" i="73" s="1"/>
  <c r="FV39" i="73"/>
  <c r="FW28" i="73"/>
  <c r="FW30" i="73"/>
  <c r="FZ28" i="73"/>
  <c r="GI28" i="73" s="1"/>
  <c r="GQ68" i="73"/>
  <c r="GS68" i="73" s="1"/>
  <c r="GM68" i="73"/>
  <c r="GM60" i="73"/>
  <c r="GQ60" i="73"/>
  <c r="GM34" i="73"/>
  <c r="GQ34" i="73"/>
  <c r="GQ84" i="73"/>
  <c r="GM84" i="73"/>
  <c r="GQ54" i="73"/>
  <c r="GM54" i="73"/>
  <c r="GM32" i="73"/>
  <c r="GQ32" i="73"/>
  <c r="GQ36" i="73"/>
  <c r="GS36" i="73" s="1"/>
  <c r="GM36" i="73"/>
  <c r="GQ80" i="73"/>
  <c r="GM80" i="73"/>
  <c r="GQ75" i="73"/>
  <c r="GM75" i="73"/>
  <c r="GQ56" i="73"/>
  <c r="GM56" i="73"/>
  <c r="GM37" i="73"/>
  <c r="GQ37" i="73"/>
  <c r="GS37" i="73" s="1"/>
  <c r="GQ38" i="73"/>
  <c r="GS38" i="73" s="1"/>
  <c r="GM38" i="73"/>
  <c r="GM43" i="73"/>
  <c r="GQ43" i="73"/>
  <c r="GS43" i="73" s="1"/>
  <c r="GQ55" i="73"/>
  <c r="GS55" i="73" s="1"/>
  <c r="GM55" i="73"/>
  <c r="GM61" i="73"/>
  <c r="GQ61" i="73"/>
  <c r="GS61" i="73" s="1"/>
  <c r="GR72" i="73"/>
  <c r="GQ65" i="73"/>
  <c r="GS65" i="73" s="1"/>
  <c r="GM65" i="73"/>
  <c r="GM26" i="73"/>
  <c r="GQ26" i="73"/>
  <c r="GR34" i="73"/>
  <c r="GM53" i="73"/>
  <c r="GQ53" i="73"/>
  <c r="GS53" i="73" s="1"/>
  <c r="GM48" i="73"/>
  <c r="GQ48" i="73"/>
  <c r="GR51" i="73"/>
  <c r="GR54" i="73"/>
  <c r="GM62" i="73"/>
  <c r="GQ62" i="73"/>
  <c r="GS62" i="73" s="1"/>
  <c r="GR80" i="73"/>
  <c r="GQ44" i="73"/>
  <c r="GS44" i="73" s="1"/>
  <c r="GM44" i="73"/>
  <c r="GQ64" i="73"/>
  <c r="GS64" i="73" s="1"/>
  <c r="GM64" i="73"/>
  <c r="GM79" i="73"/>
  <c r="GQ79" i="73"/>
  <c r="GS79" i="73" s="1"/>
  <c r="GM49" i="73"/>
  <c r="GQ49" i="73"/>
  <c r="GS49" i="73" s="1"/>
  <c r="GM52" i="73"/>
  <c r="GQ52" i="73"/>
  <c r="GS52" i="73" s="1"/>
  <c r="GQ27" i="73"/>
  <c r="GS27" i="73" s="1"/>
  <c r="GM27" i="73"/>
  <c r="GM58" i="73"/>
  <c r="GQ58" i="73"/>
  <c r="GQ82" i="73"/>
  <c r="GS82" i="73" s="1"/>
  <c r="GM82" i="73"/>
  <c r="GQ69" i="73"/>
  <c r="GM69" i="73"/>
  <c r="GQ86" i="73"/>
  <c r="GS86" i="73" s="1"/>
  <c r="GM86" i="73"/>
  <c r="GQ78" i="73"/>
  <c r="GS78" i="73" s="1"/>
  <c r="GM78" i="73"/>
  <c r="GM46" i="73"/>
  <c r="GQ46" i="73"/>
  <c r="GQ83" i="73"/>
  <c r="GM83" i="73"/>
  <c r="GM59" i="73"/>
  <c r="GQ59" i="73"/>
  <c r="GQ76" i="73"/>
  <c r="GS76" i="73" s="1"/>
  <c r="GM76" i="73"/>
  <c r="GQ42" i="73"/>
  <c r="GS42" i="73" s="1"/>
  <c r="GM42" i="73"/>
  <c r="GR59" i="73"/>
  <c r="GQ45" i="73"/>
  <c r="GS45" i="73" s="1"/>
  <c r="GM45" i="73"/>
  <c r="CG37" i="73"/>
  <c r="DI35" i="73"/>
  <c r="DS34" i="73" s="1"/>
  <c r="GR48" i="73"/>
  <c r="GQ81" i="73"/>
  <c r="GS81" i="73" s="1"/>
  <c r="GM81" i="73"/>
  <c r="GQ28" i="73"/>
  <c r="GM28" i="73"/>
  <c r="GR28" i="73"/>
  <c r="GM29" i="73"/>
  <c r="GQ29" i="73"/>
  <c r="GQ66" i="73"/>
  <c r="GS66" i="73" s="1"/>
  <c r="GM66" i="73"/>
  <c r="GQ70" i="73"/>
  <c r="GS70" i="73" s="1"/>
  <c r="GM70" i="73"/>
  <c r="GR60" i="73"/>
  <c r="DN34" i="73"/>
  <c r="GQ85" i="73"/>
  <c r="GS85" i="73" s="1"/>
  <c r="GM85" i="73"/>
  <c r="GQ30" i="73"/>
  <c r="GS30" i="73" s="1"/>
  <c r="GM30" i="73"/>
  <c r="GQ50" i="73"/>
  <c r="GS50" i="73" s="1"/>
  <c r="GM50" i="73"/>
  <c r="GM41" i="73"/>
  <c r="GQ41" i="73"/>
  <c r="GS41" i="73" s="1"/>
  <c r="GQ74" i="73"/>
  <c r="GS74" i="73" s="1"/>
  <c r="GM74" i="73"/>
  <c r="GR32" i="73"/>
  <c r="GR46" i="73"/>
  <c r="GR84" i="73"/>
  <c r="GQ67" i="73"/>
  <c r="GS67" i="73" s="1"/>
  <c r="GM67" i="73"/>
  <c r="GM31" i="73"/>
  <c r="GQ31" i="73"/>
  <c r="GS31" i="73" s="1"/>
  <c r="GQ63" i="73"/>
  <c r="GS63" i="73" s="1"/>
  <c r="GM63" i="73"/>
  <c r="GR58" i="73"/>
  <c r="GQ77" i="73"/>
  <c r="GS77" i="73" s="1"/>
  <c r="GM77" i="73"/>
  <c r="GR69" i="73"/>
  <c r="GR75" i="73"/>
  <c r="GM57" i="73"/>
  <c r="GQ57" i="73"/>
  <c r="GS57" i="73" s="1"/>
  <c r="GQ71" i="73"/>
  <c r="GS71" i="73" s="1"/>
  <c r="GM71" i="73"/>
  <c r="GR73" i="73"/>
  <c r="GQ33" i="73"/>
  <c r="GS33" i="73" s="1"/>
  <c r="GM33" i="73"/>
  <c r="GR26" i="73"/>
  <c r="GR83" i="73"/>
  <c r="GR29" i="73"/>
  <c r="GR56" i="73"/>
  <c r="AJ40" i="72"/>
  <c r="FP50" i="106" l="1"/>
  <c r="FP28" i="106" s="1"/>
  <c r="BT56" i="106"/>
  <c r="GW39" i="106"/>
  <c r="CP10" i="106"/>
  <c r="CV19" i="106"/>
  <c r="DC19" i="106" s="1"/>
  <c r="CV18" i="106"/>
  <c r="FP56" i="106"/>
  <c r="GX39" i="106"/>
  <c r="GW55" i="106"/>
  <c r="GZ55" i="106" s="1"/>
  <c r="GW79" i="106"/>
  <c r="GZ79" i="106" s="1"/>
  <c r="CP11" i="106"/>
  <c r="CW11" i="106" s="1"/>
  <c r="DM10" i="106" s="1"/>
  <c r="GX79" i="106"/>
  <c r="HA79" i="106" s="1"/>
  <c r="DC18" i="106"/>
  <c r="GX55" i="106"/>
  <c r="GZ37" i="106"/>
  <c r="GV52" i="106"/>
  <c r="GX52" i="106"/>
  <c r="GW52" i="106"/>
  <c r="GV66" i="106"/>
  <c r="GX66" i="106"/>
  <c r="GW66" i="106"/>
  <c r="GV73" i="106"/>
  <c r="GX73" i="106"/>
  <c r="GW73" i="106"/>
  <c r="GV63" i="106"/>
  <c r="GX63" i="106"/>
  <c r="GW63" i="106"/>
  <c r="GV36" i="106"/>
  <c r="GX36" i="106"/>
  <c r="GW36" i="106"/>
  <c r="FC13" i="106"/>
  <c r="GV43" i="106"/>
  <c r="GX43" i="106"/>
  <c r="GW43" i="106"/>
  <c r="GV78" i="106"/>
  <c r="GX78" i="106"/>
  <c r="GW78" i="106"/>
  <c r="HD60" i="106"/>
  <c r="HA60" i="106"/>
  <c r="GV59" i="106"/>
  <c r="GX59" i="106"/>
  <c r="GV64" i="106"/>
  <c r="GW64" i="106"/>
  <c r="GX64" i="106"/>
  <c r="GV69" i="106"/>
  <c r="GX69" i="106"/>
  <c r="GW69" i="106"/>
  <c r="GV84" i="106"/>
  <c r="GX84" i="106"/>
  <c r="GW84" i="106"/>
  <c r="GV40" i="106"/>
  <c r="GX40" i="106"/>
  <c r="GW40" i="106"/>
  <c r="HD70" i="106"/>
  <c r="HA70" i="106"/>
  <c r="HB70" i="106" s="1"/>
  <c r="HX70" i="106" s="1"/>
  <c r="GV50" i="106"/>
  <c r="GX50" i="106"/>
  <c r="GW50" i="106"/>
  <c r="GV41" i="106"/>
  <c r="GW41" i="106"/>
  <c r="GX41" i="106"/>
  <c r="GV56" i="106"/>
  <c r="GW56" i="106"/>
  <c r="GX56" i="106"/>
  <c r="GV28" i="106"/>
  <c r="GX28" i="106"/>
  <c r="GW28" i="106"/>
  <c r="GV82" i="106"/>
  <c r="GW82" i="106"/>
  <c r="GX82" i="106"/>
  <c r="GV62" i="106"/>
  <c r="GX62" i="106"/>
  <c r="GW62" i="106"/>
  <c r="GZ34" i="106"/>
  <c r="GV85" i="106"/>
  <c r="GX85" i="106"/>
  <c r="GW85" i="106"/>
  <c r="GV48" i="106"/>
  <c r="GX48" i="106"/>
  <c r="GW48" i="106"/>
  <c r="GV77" i="106"/>
  <c r="GW77" i="106"/>
  <c r="GX77" i="106"/>
  <c r="FR54" i="106"/>
  <c r="CR48" i="106"/>
  <c r="GV71" i="106"/>
  <c r="GW71" i="106"/>
  <c r="GX71" i="106"/>
  <c r="GV31" i="106"/>
  <c r="GX31" i="106"/>
  <c r="GW31" i="106"/>
  <c r="GV32" i="106"/>
  <c r="GX32" i="106"/>
  <c r="GW32" i="106"/>
  <c r="GV53" i="106"/>
  <c r="GW53" i="106"/>
  <c r="GX53" i="106"/>
  <c r="GV33" i="106"/>
  <c r="GX33" i="106"/>
  <c r="GW33" i="106"/>
  <c r="GV35" i="106"/>
  <c r="GW35" i="106"/>
  <c r="GX35" i="106"/>
  <c r="GW59" i="106"/>
  <c r="GV44" i="106"/>
  <c r="GX44" i="106"/>
  <c r="GW44" i="106"/>
  <c r="GV68" i="106"/>
  <c r="GX68" i="106"/>
  <c r="GW68" i="106"/>
  <c r="GV42" i="106"/>
  <c r="GW42" i="106"/>
  <c r="GX42" i="106"/>
  <c r="GV65" i="106"/>
  <c r="GW65" i="106"/>
  <c r="GX65" i="106"/>
  <c r="GV81" i="106"/>
  <c r="GW81" i="106"/>
  <c r="GX81" i="106"/>
  <c r="GV61" i="106"/>
  <c r="GW61" i="106"/>
  <c r="GX61" i="106"/>
  <c r="GV26" i="106"/>
  <c r="GX26" i="106"/>
  <c r="GW26" i="106"/>
  <c r="GV49" i="106"/>
  <c r="GW49" i="106"/>
  <c r="GX49" i="106"/>
  <c r="GV80" i="106"/>
  <c r="GX80" i="106"/>
  <c r="GW80" i="106"/>
  <c r="GV75" i="106"/>
  <c r="GX75" i="106"/>
  <c r="GW75" i="106"/>
  <c r="GV54" i="106"/>
  <c r="GX54" i="106"/>
  <c r="GW54" i="106"/>
  <c r="GV27" i="106"/>
  <c r="GX27" i="106"/>
  <c r="GW27" i="106"/>
  <c r="GV37" i="106"/>
  <c r="GX37" i="106"/>
  <c r="GY37" i="106" s="1"/>
  <c r="GV46" i="106"/>
  <c r="GX46" i="106"/>
  <c r="GW46" i="106"/>
  <c r="GV34" i="106"/>
  <c r="GX34" i="106"/>
  <c r="FP54" i="106"/>
  <c r="FP32" i="106" s="1"/>
  <c r="BX48" i="106"/>
  <c r="BH47" i="106"/>
  <c r="BY49" i="106" s="1"/>
  <c r="CR49" i="106" s="1"/>
  <c r="GV47" i="106"/>
  <c r="GX47" i="106"/>
  <c r="GW47" i="106"/>
  <c r="GV30" i="106"/>
  <c r="GX30" i="106"/>
  <c r="GW30" i="106"/>
  <c r="GV58" i="106"/>
  <c r="GX58" i="106"/>
  <c r="GW58" i="106"/>
  <c r="GV38" i="106"/>
  <c r="GW38" i="106"/>
  <c r="GX38" i="106"/>
  <c r="GV29" i="106"/>
  <c r="GW29" i="106"/>
  <c r="GX29" i="106"/>
  <c r="AZ56" i="106"/>
  <c r="BC57" i="106"/>
  <c r="BV57" i="106" s="1"/>
  <c r="FP53" i="106"/>
  <c r="FP31" i="106" s="1"/>
  <c r="FP30" i="106"/>
  <c r="GV67" i="106"/>
  <c r="GX67" i="106"/>
  <c r="GW67" i="106"/>
  <c r="GV86" i="106"/>
  <c r="GX86" i="106"/>
  <c r="GW86" i="106"/>
  <c r="GV74" i="106"/>
  <c r="GX74" i="106"/>
  <c r="GW74" i="106"/>
  <c r="HC70" i="106"/>
  <c r="GV57" i="106"/>
  <c r="GX57" i="106"/>
  <c r="GW57" i="106"/>
  <c r="HC60" i="106"/>
  <c r="GY60" i="106"/>
  <c r="GZ60" i="106"/>
  <c r="GV83" i="106"/>
  <c r="GX83" i="106"/>
  <c r="GW83" i="106"/>
  <c r="GV76" i="106"/>
  <c r="GX76" i="106"/>
  <c r="GW76" i="106"/>
  <c r="GV45" i="106"/>
  <c r="GX45" i="106"/>
  <c r="GW45" i="106"/>
  <c r="GV72" i="106"/>
  <c r="GX72" i="106"/>
  <c r="GW72" i="106"/>
  <c r="FP34" i="106"/>
  <c r="GV51" i="106"/>
  <c r="GW51" i="106"/>
  <c r="GX51" i="106"/>
  <c r="GY70" i="106"/>
  <c r="HW39" i="72"/>
  <c r="HW71" i="72"/>
  <c r="HW79" i="72"/>
  <c r="HW26" i="72"/>
  <c r="HW56" i="72"/>
  <c r="HW49" i="72"/>
  <c r="HW69" i="72"/>
  <c r="HW51" i="72"/>
  <c r="HW31" i="72"/>
  <c r="HW34" i="72"/>
  <c r="HW64" i="72"/>
  <c r="HW57" i="72"/>
  <c r="HW54" i="72"/>
  <c r="HW59" i="72"/>
  <c r="HW72" i="72"/>
  <c r="HW73" i="72"/>
  <c r="HW75" i="72"/>
  <c r="HW47" i="72"/>
  <c r="HW80" i="72"/>
  <c r="HW28" i="72"/>
  <c r="HW77" i="72"/>
  <c r="HW46" i="72"/>
  <c r="HW55" i="72"/>
  <c r="HW32" i="72"/>
  <c r="HW58" i="72"/>
  <c r="HW36" i="72"/>
  <c r="HW42" i="72"/>
  <c r="HW29" i="72"/>
  <c r="HW63" i="72"/>
  <c r="HW40" i="72"/>
  <c r="HW44" i="72"/>
  <c r="HW66" i="72"/>
  <c r="HW37" i="72"/>
  <c r="HW48" i="72"/>
  <c r="HW60" i="72"/>
  <c r="HW74" i="72"/>
  <c r="HW53" i="72"/>
  <c r="HW41" i="72"/>
  <c r="HW67" i="72"/>
  <c r="HW38" i="72"/>
  <c r="HW65" i="72"/>
  <c r="HW52" i="72"/>
  <c r="HW82" i="72"/>
  <c r="HW45" i="72"/>
  <c r="HW85" i="72"/>
  <c r="HW81" i="72"/>
  <c r="HW68" i="72"/>
  <c r="HW83" i="72"/>
  <c r="HW27" i="72"/>
  <c r="HW30" i="72"/>
  <c r="HW70" i="72"/>
  <c r="HW50" i="72"/>
  <c r="HW76" i="72"/>
  <c r="HW61" i="72"/>
  <c r="HW35" i="72"/>
  <c r="HW62" i="72"/>
  <c r="HW33" i="72"/>
  <c r="HW84" i="72"/>
  <c r="HW86" i="72"/>
  <c r="HW43" i="72"/>
  <c r="GS34" i="73"/>
  <c r="GS46" i="73"/>
  <c r="GT76" i="73"/>
  <c r="FX76" i="73"/>
  <c r="GS58" i="73"/>
  <c r="GS26" i="73"/>
  <c r="GS32" i="73"/>
  <c r="GS60" i="73"/>
  <c r="GH70" i="73"/>
  <c r="GA70" i="73"/>
  <c r="FX82" i="73"/>
  <c r="GT82" i="73"/>
  <c r="GU54" i="73"/>
  <c r="GA66" i="73"/>
  <c r="GH66" i="73"/>
  <c r="FX86" i="73"/>
  <c r="GT86" i="73"/>
  <c r="GA64" i="73"/>
  <c r="GH64" i="73"/>
  <c r="GH48" i="73"/>
  <c r="GA48" i="73"/>
  <c r="GU46" i="73"/>
  <c r="GA86" i="73"/>
  <c r="GH86" i="73"/>
  <c r="FX57" i="73"/>
  <c r="GT57" i="73"/>
  <c r="GU58" i="73"/>
  <c r="GH79" i="73"/>
  <c r="GA79" i="73"/>
  <c r="GU41" i="73"/>
  <c r="GA42" i="73"/>
  <c r="GH42" i="73"/>
  <c r="FX59" i="73"/>
  <c r="GT59" i="73"/>
  <c r="GU82" i="73"/>
  <c r="FX40" i="73"/>
  <c r="GT40" i="73"/>
  <c r="GU76" i="73"/>
  <c r="FX32" i="73"/>
  <c r="GT32" i="73"/>
  <c r="GU45" i="73"/>
  <c r="GU65" i="73"/>
  <c r="GU80" i="73"/>
  <c r="GT50" i="73"/>
  <c r="FX50" i="73"/>
  <c r="GS29" i="73"/>
  <c r="FR51" i="73"/>
  <c r="DA24" i="73"/>
  <c r="BH42" i="73"/>
  <c r="FR55" i="73" s="1"/>
  <c r="GS56" i="73"/>
  <c r="GA36" i="73"/>
  <c r="GH36" i="73"/>
  <c r="FX46" i="73"/>
  <c r="GT46" i="73"/>
  <c r="GV46" i="73" s="1"/>
  <c r="FX62" i="73"/>
  <c r="GT62" i="73"/>
  <c r="GU83" i="73"/>
  <c r="FX26" i="73"/>
  <c r="GT26" i="73"/>
  <c r="FX48" i="73"/>
  <c r="GT48" i="73"/>
  <c r="GU69" i="73"/>
  <c r="GA50" i="73"/>
  <c r="GH50" i="73"/>
  <c r="FX56" i="73"/>
  <c r="GT56" i="73"/>
  <c r="GA85" i="73"/>
  <c r="GH85" i="73"/>
  <c r="FX34" i="73"/>
  <c r="GT34" i="73"/>
  <c r="GU57" i="73"/>
  <c r="GT79" i="73"/>
  <c r="FX79" i="73"/>
  <c r="GU49" i="73"/>
  <c r="GU48" i="73"/>
  <c r="GU64" i="73"/>
  <c r="GA30" i="73"/>
  <c r="GH30" i="73"/>
  <c r="FX71" i="73"/>
  <c r="GT71" i="73"/>
  <c r="GU59" i="73"/>
  <c r="GH80" i="73"/>
  <c r="GA80" i="73"/>
  <c r="CX30" i="73"/>
  <c r="GT77" i="73"/>
  <c r="FX77" i="73"/>
  <c r="GT55" i="73"/>
  <c r="FX55" i="73"/>
  <c r="GA45" i="73"/>
  <c r="GH45" i="73"/>
  <c r="FX61" i="73"/>
  <c r="GT61" i="73"/>
  <c r="GU86" i="73"/>
  <c r="FX30" i="73"/>
  <c r="GT30" i="73"/>
  <c r="FX39" i="73"/>
  <c r="GT39" i="73"/>
  <c r="CL37" i="73"/>
  <c r="CV36" i="73" s="1"/>
  <c r="CQ36" i="73"/>
  <c r="GS59" i="73"/>
  <c r="GU37" i="73"/>
  <c r="GU62" i="73"/>
  <c r="GA83" i="73"/>
  <c r="GH83" i="73"/>
  <c r="GA40" i="73"/>
  <c r="GH40" i="73"/>
  <c r="GU43" i="73"/>
  <c r="GA63" i="73"/>
  <c r="GH63" i="73"/>
  <c r="GA84" i="73"/>
  <c r="GH84" i="73"/>
  <c r="GH49" i="73"/>
  <c r="GA49" i="73"/>
  <c r="GA77" i="73"/>
  <c r="GH77" i="73"/>
  <c r="GA38" i="73"/>
  <c r="GH38" i="73"/>
  <c r="FX70" i="73"/>
  <c r="GT70" i="73"/>
  <c r="GT54" i="73"/>
  <c r="FX54" i="73"/>
  <c r="GA51" i="73"/>
  <c r="GH51" i="73"/>
  <c r="GU51" i="73"/>
  <c r="GT44" i="73"/>
  <c r="FX44" i="73"/>
  <c r="FX68" i="73"/>
  <c r="GT68" i="73"/>
  <c r="GA47" i="73"/>
  <c r="GH47" i="73"/>
  <c r="FX43" i="73"/>
  <c r="GT43" i="73"/>
  <c r="FX60" i="73"/>
  <c r="GT60" i="73"/>
  <c r="FX83" i="73"/>
  <c r="GT83" i="73"/>
  <c r="GA35" i="73"/>
  <c r="GH35" i="73"/>
  <c r="GT41" i="73"/>
  <c r="FX41" i="73"/>
  <c r="GU61" i="73"/>
  <c r="GA82" i="73"/>
  <c r="GH82" i="73"/>
  <c r="GU84" i="73"/>
  <c r="GT49" i="73"/>
  <c r="FX49" i="73"/>
  <c r="FP51" i="73"/>
  <c r="BC42" i="73"/>
  <c r="FP55" i="73" s="1"/>
  <c r="CU25" i="73"/>
  <c r="DA25" i="73" s="1"/>
  <c r="CU24" i="73"/>
  <c r="GS48" i="73"/>
  <c r="GS75" i="73"/>
  <c r="GS54" i="73"/>
  <c r="GU63" i="73"/>
  <c r="GA67" i="73"/>
  <c r="GH67" i="73"/>
  <c r="FX31" i="73"/>
  <c r="GT31" i="73"/>
  <c r="GA54" i="73"/>
  <c r="GH54" i="73"/>
  <c r="GH71" i="73"/>
  <c r="GA71" i="73"/>
  <c r="GA33" i="73"/>
  <c r="GH33" i="73"/>
  <c r="GH59" i="73"/>
  <c r="GA59" i="73"/>
  <c r="GU38" i="73"/>
  <c r="GH29" i="73"/>
  <c r="GA29" i="73"/>
  <c r="GU56" i="73"/>
  <c r="FX73" i="73"/>
  <c r="GT73" i="73"/>
  <c r="FX72" i="73"/>
  <c r="GT72" i="73"/>
  <c r="GA39" i="73"/>
  <c r="GH39" i="73"/>
  <c r="GU52" i="73"/>
  <c r="GA68" i="73"/>
  <c r="GH68" i="73"/>
  <c r="GA27" i="73"/>
  <c r="GH27" i="73"/>
  <c r="GU32" i="73"/>
  <c r="FX74" i="73"/>
  <c r="GT74" i="73"/>
  <c r="GU60" i="73"/>
  <c r="GA81" i="73"/>
  <c r="GH81" i="73"/>
  <c r="GU26" i="73"/>
  <c r="GU50" i="73"/>
  <c r="GS73" i="73"/>
  <c r="GU47" i="73"/>
  <c r="GH61" i="73"/>
  <c r="GA61" i="73"/>
  <c r="GH43" i="73"/>
  <c r="GA43" i="73"/>
  <c r="GH60" i="73"/>
  <c r="GA60" i="73"/>
  <c r="FX37" i="73"/>
  <c r="GT37" i="73"/>
  <c r="GU44" i="73"/>
  <c r="CK33" i="73"/>
  <c r="CS31" i="73"/>
  <c r="DC30" i="73" s="1"/>
  <c r="GU70" i="73"/>
  <c r="GU81" i="73"/>
  <c r="GU36" i="73"/>
  <c r="GA44" i="73"/>
  <c r="GH44" i="73"/>
  <c r="GH62" i="73"/>
  <c r="GA62" i="73"/>
  <c r="FX85" i="73"/>
  <c r="GT85" i="73"/>
  <c r="GU31" i="73"/>
  <c r="GA58" i="73"/>
  <c r="GH58" i="73"/>
  <c r="GU75" i="73"/>
  <c r="GT36" i="73"/>
  <c r="FX36" i="73"/>
  <c r="GU40" i="73"/>
  <c r="GT47" i="73"/>
  <c r="FX47" i="73"/>
  <c r="GA41" i="73"/>
  <c r="GH41" i="73"/>
  <c r="GH57" i="73"/>
  <c r="GA57" i="73"/>
  <c r="FX81" i="73"/>
  <c r="GT81" i="73"/>
  <c r="GT33" i="73"/>
  <c r="FX33" i="73"/>
  <c r="GS28" i="73"/>
  <c r="GS83" i="73"/>
  <c r="GS69" i="73"/>
  <c r="GS80" i="73"/>
  <c r="GS84" i="73"/>
  <c r="GU30" i="73"/>
  <c r="GU34" i="73"/>
  <c r="GU53" i="73"/>
  <c r="GT65" i="73"/>
  <c r="FX65" i="73"/>
  <c r="GH31" i="73"/>
  <c r="GA31" i="73"/>
  <c r="GH37" i="73"/>
  <c r="GA37" i="73"/>
  <c r="GA56" i="73"/>
  <c r="GH56" i="73"/>
  <c r="GT66" i="73"/>
  <c r="FX66" i="73"/>
  <c r="GU55" i="73"/>
  <c r="GU79" i="73"/>
  <c r="GT51" i="73"/>
  <c r="FX51" i="73"/>
  <c r="GU66" i="73"/>
  <c r="GA72" i="73"/>
  <c r="GH72" i="73"/>
  <c r="GT38" i="73"/>
  <c r="FX38" i="73"/>
  <c r="FX67" i="73"/>
  <c r="GT67" i="73"/>
  <c r="FX84" i="73"/>
  <c r="GT84" i="73"/>
  <c r="GU33" i="73"/>
  <c r="GA26" i="73"/>
  <c r="GH26" i="73"/>
  <c r="FX69" i="73"/>
  <c r="GT69" i="73"/>
  <c r="GU72" i="73"/>
  <c r="FX75" i="73"/>
  <c r="GT75" i="73"/>
  <c r="GA55" i="73"/>
  <c r="GH55" i="73"/>
  <c r="GA69" i="73"/>
  <c r="GH69" i="73"/>
  <c r="FX28" i="73"/>
  <c r="GT28" i="73"/>
  <c r="GH32" i="73"/>
  <c r="GA32" i="73"/>
  <c r="GH52" i="73"/>
  <c r="GA52" i="73"/>
  <c r="GT64" i="73"/>
  <c r="FX64" i="73"/>
  <c r="GS51" i="73"/>
  <c r="GU28" i="73"/>
  <c r="GA75" i="73"/>
  <c r="GH75" i="73"/>
  <c r="FX42" i="73"/>
  <c r="GT42" i="73"/>
  <c r="FX53" i="73"/>
  <c r="GT53" i="73"/>
  <c r="FX52" i="73"/>
  <c r="GT52" i="73"/>
  <c r="GA76" i="73"/>
  <c r="GH76" i="73"/>
  <c r="GA28" i="73"/>
  <c r="GH28" i="73"/>
  <c r="GA65" i="73"/>
  <c r="GH65" i="73"/>
  <c r="GU67" i="73"/>
  <c r="GA73" i="73"/>
  <c r="GH73" i="73"/>
  <c r="FX35" i="73"/>
  <c r="GT35" i="73"/>
  <c r="FX45" i="73"/>
  <c r="GT45" i="73"/>
  <c r="GU68" i="73"/>
  <c r="GU27" i="73"/>
  <c r="GU85" i="73"/>
  <c r="GT63" i="73"/>
  <c r="GV63" i="73" s="1"/>
  <c r="FX63" i="73"/>
  <c r="GU35" i="73"/>
  <c r="GU74" i="73"/>
  <c r="GU29" i="73"/>
  <c r="GU78" i="73"/>
  <c r="GH78" i="73"/>
  <c r="GA78" i="73"/>
  <c r="GU39" i="73"/>
  <c r="GA53" i="73"/>
  <c r="GH53" i="73"/>
  <c r="FX58" i="73"/>
  <c r="GT58" i="73"/>
  <c r="GU77" i="73"/>
  <c r="FX29" i="73"/>
  <c r="GT29" i="73"/>
  <c r="GU42" i="73"/>
  <c r="GU71" i="73"/>
  <c r="GA74" i="73"/>
  <c r="GH74" i="73"/>
  <c r="GH34" i="73"/>
  <c r="GA34" i="73"/>
  <c r="GT27" i="73"/>
  <c r="FX27" i="73"/>
  <c r="FX78" i="73"/>
  <c r="GT78" i="73"/>
  <c r="GU73" i="73"/>
  <c r="GH46" i="73"/>
  <c r="GA46" i="73"/>
  <c r="GT80" i="73"/>
  <c r="FX80" i="73"/>
  <c r="GS72" i="73"/>
  <c r="FU86" i="72"/>
  <c r="GF86" i="72" s="1"/>
  <c r="GL86" i="72" s="1"/>
  <c r="FU85" i="72"/>
  <c r="GF85" i="72" s="1"/>
  <c r="GL85" i="72" s="1"/>
  <c r="FU84" i="72"/>
  <c r="GF84" i="72" s="1"/>
  <c r="GL84" i="72" s="1"/>
  <c r="FU83" i="72"/>
  <c r="GF83" i="72" s="1"/>
  <c r="GL83" i="72" s="1"/>
  <c r="FU82" i="72"/>
  <c r="GF82" i="72" s="1"/>
  <c r="GL82" i="72" s="1"/>
  <c r="FU81" i="72"/>
  <c r="GF81" i="72" s="1"/>
  <c r="GL81" i="72" s="1"/>
  <c r="FU80" i="72"/>
  <c r="GF80" i="72" s="1"/>
  <c r="GL80" i="72" s="1"/>
  <c r="FU79" i="72"/>
  <c r="GF79" i="72" s="1"/>
  <c r="GL79" i="72" s="1"/>
  <c r="FU78" i="72"/>
  <c r="GF78" i="72" s="1"/>
  <c r="GL78" i="72" s="1"/>
  <c r="FU77" i="72"/>
  <c r="GF77" i="72" s="1"/>
  <c r="GL77" i="72" s="1"/>
  <c r="FU76" i="72"/>
  <c r="GF76" i="72" s="1"/>
  <c r="GL76" i="72" s="1"/>
  <c r="FU75" i="72"/>
  <c r="GF75" i="72" s="1"/>
  <c r="GL75" i="72" s="1"/>
  <c r="FU74" i="72"/>
  <c r="GF74" i="72" s="1"/>
  <c r="GL74" i="72" s="1"/>
  <c r="FU73" i="72"/>
  <c r="GF73" i="72" s="1"/>
  <c r="GL73" i="72" s="1"/>
  <c r="FU72" i="72"/>
  <c r="GF72" i="72" s="1"/>
  <c r="GL72" i="72" s="1"/>
  <c r="FU71" i="72"/>
  <c r="GF71" i="72" s="1"/>
  <c r="GL71" i="72" s="1"/>
  <c r="FU70" i="72"/>
  <c r="GF70" i="72" s="1"/>
  <c r="GL70" i="72" s="1"/>
  <c r="FU69" i="72"/>
  <c r="GF69" i="72" s="1"/>
  <c r="GL69" i="72" s="1"/>
  <c r="FU68" i="72"/>
  <c r="GF68" i="72" s="1"/>
  <c r="GL68" i="72" s="1"/>
  <c r="FU67" i="72"/>
  <c r="GF67" i="72" s="1"/>
  <c r="GL67" i="72" s="1"/>
  <c r="FU66" i="72"/>
  <c r="GF66" i="72" s="1"/>
  <c r="GL66" i="72" s="1"/>
  <c r="FU65" i="72"/>
  <c r="GF65" i="72" s="1"/>
  <c r="GL65" i="72" s="1"/>
  <c r="FU64" i="72"/>
  <c r="GF64" i="72" s="1"/>
  <c r="GL64" i="72" s="1"/>
  <c r="FU63" i="72"/>
  <c r="GF63" i="72" s="1"/>
  <c r="GL63" i="72" s="1"/>
  <c r="FU62" i="72"/>
  <c r="GF62" i="72" s="1"/>
  <c r="GL62" i="72" s="1"/>
  <c r="FU61" i="72"/>
  <c r="GF61" i="72" s="1"/>
  <c r="GL61" i="72" s="1"/>
  <c r="FU60" i="72"/>
  <c r="GF60" i="72" s="1"/>
  <c r="GL60" i="72" s="1"/>
  <c r="FU59" i="72"/>
  <c r="GF59" i="72" s="1"/>
  <c r="GL59" i="72" s="1"/>
  <c r="FU58" i="72"/>
  <c r="GF58" i="72" s="1"/>
  <c r="GL58" i="72" s="1"/>
  <c r="FU57" i="72"/>
  <c r="GF57" i="72" s="1"/>
  <c r="GL57" i="72" s="1"/>
  <c r="FU56" i="72"/>
  <c r="GF56" i="72" s="1"/>
  <c r="GL56" i="72" s="1"/>
  <c r="FU55" i="72"/>
  <c r="GF55" i="72" s="1"/>
  <c r="GL55" i="72" s="1"/>
  <c r="FU54" i="72"/>
  <c r="GF54" i="72" s="1"/>
  <c r="GL54" i="72" s="1"/>
  <c r="FU53" i="72"/>
  <c r="GF53" i="72" s="1"/>
  <c r="GL53" i="72" s="1"/>
  <c r="FU52" i="72"/>
  <c r="GF52" i="72" s="1"/>
  <c r="GL52" i="72" s="1"/>
  <c r="FU51" i="72"/>
  <c r="GF51" i="72" s="1"/>
  <c r="GL51" i="72" s="1"/>
  <c r="FU50" i="72"/>
  <c r="GF50" i="72" s="1"/>
  <c r="GL50" i="72" s="1"/>
  <c r="FU49" i="72"/>
  <c r="GF49" i="72" s="1"/>
  <c r="GL49" i="72" s="1"/>
  <c r="FU48" i="72"/>
  <c r="GF48" i="72" s="1"/>
  <c r="GL48" i="72" s="1"/>
  <c r="FU47" i="72"/>
  <c r="GF47" i="72" s="1"/>
  <c r="GL47" i="72" s="1"/>
  <c r="AP47" i="72"/>
  <c r="FU46" i="72"/>
  <c r="GF46" i="72" s="1"/>
  <c r="GL46" i="72" s="1"/>
  <c r="AP46" i="72"/>
  <c r="FU45" i="72"/>
  <c r="GF45" i="72" s="1"/>
  <c r="GL45" i="72" s="1"/>
  <c r="AP45" i="72"/>
  <c r="FU44" i="72"/>
  <c r="GF44" i="72" s="1"/>
  <c r="GL44" i="72" s="1"/>
  <c r="FU43" i="72"/>
  <c r="GF43" i="72" s="1"/>
  <c r="GL43" i="72" s="1"/>
  <c r="FU42" i="72"/>
  <c r="GF42" i="72" s="1"/>
  <c r="GL42" i="72" s="1"/>
  <c r="AJ42" i="72"/>
  <c r="AJ43" i="72" s="1"/>
  <c r="HQ41" i="72"/>
  <c r="FT41" i="72"/>
  <c r="FU41" i="72" s="1"/>
  <c r="GF41" i="72" s="1"/>
  <c r="GL41" i="72" s="1"/>
  <c r="FU40" i="72"/>
  <c r="GF40" i="72" s="1"/>
  <c r="GL40" i="72" s="1"/>
  <c r="AP40" i="72"/>
  <c r="FU39" i="72"/>
  <c r="GF39" i="72" s="1"/>
  <c r="GL39" i="72" s="1"/>
  <c r="FU38" i="72"/>
  <c r="GF38" i="72" s="1"/>
  <c r="GL38" i="72" s="1"/>
  <c r="AJ38" i="72"/>
  <c r="FU37" i="72"/>
  <c r="GF37" i="72" s="1"/>
  <c r="GL37" i="72" s="1"/>
  <c r="FU36" i="72"/>
  <c r="GF36" i="72" s="1"/>
  <c r="GL36" i="72" s="1"/>
  <c r="AJ36" i="72"/>
  <c r="FU35" i="72"/>
  <c r="GF35" i="72" s="1"/>
  <c r="GL35" i="72" s="1"/>
  <c r="AJ35" i="72"/>
  <c r="FU34" i="72"/>
  <c r="GF34" i="72" s="1"/>
  <c r="GL34" i="72" s="1"/>
  <c r="AJ34" i="72"/>
  <c r="I68" i="72" s="1"/>
  <c r="FU33" i="72"/>
  <c r="GF33" i="72" s="1"/>
  <c r="GL33" i="72" s="1"/>
  <c r="AJ33" i="72"/>
  <c r="FU32" i="72"/>
  <c r="GF32" i="72" s="1"/>
  <c r="GL32" i="72" s="1"/>
  <c r="FU31" i="72"/>
  <c r="GF31" i="72" s="1"/>
  <c r="GL31" i="72" s="1"/>
  <c r="AJ31" i="72"/>
  <c r="FU30" i="72"/>
  <c r="GF30" i="72" s="1"/>
  <c r="GL30" i="72" s="1"/>
  <c r="FU29" i="72"/>
  <c r="GF29" i="72" s="1"/>
  <c r="GL29" i="72" s="1"/>
  <c r="FU28" i="72"/>
  <c r="GF28" i="72" s="1"/>
  <c r="GL28" i="72" s="1"/>
  <c r="FU27" i="72"/>
  <c r="GF27" i="72" s="1"/>
  <c r="GL27" i="72" s="1"/>
  <c r="FU26" i="72"/>
  <c r="GF26" i="72" s="1"/>
  <c r="GL26" i="72" s="1"/>
  <c r="FG26" i="72"/>
  <c r="HQ24" i="72"/>
  <c r="FP24" i="72"/>
  <c r="HR24" i="72" s="1"/>
  <c r="HS24" i="72" s="1"/>
  <c r="DO17" i="72"/>
  <c r="FP10" i="72"/>
  <c r="FQ9" i="72"/>
  <c r="FQ8" i="72"/>
  <c r="FQ7" i="72"/>
  <c r="HC39" i="106" l="1"/>
  <c r="HB79" i="106"/>
  <c r="HX79" i="106" s="1"/>
  <c r="GZ39" i="106"/>
  <c r="DL18" i="106"/>
  <c r="DR18" i="106"/>
  <c r="BF58" i="106"/>
  <c r="HD39" i="106"/>
  <c r="HC79" i="106"/>
  <c r="HA39" i="106"/>
  <c r="GY79" i="106"/>
  <c r="GY39" i="106"/>
  <c r="HD79" i="106"/>
  <c r="HC55" i="106"/>
  <c r="DF10" i="106"/>
  <c r="FC7" i="106" s="1"/>
  <c r="HA55" i="106"/>
  <c r="HB55" i="106" s="1"/>
  <c r="HX55" i="106" s="1"/>
  <c r="HD55" i="106"/>
  <c r="GY55" i="106"/>
  <c r="AZ58" i="106"/>
  <c r="CO7" i="106" s="1"/>
  <c r="CX7" i="106" s="1"/>
  <c r="BH48" i="106"/>
  <c r="FP57" i="106" s="1"/>
  <c r="HD86" i="106"/>
  <c r="HA86" i="106"/>
  <c r="HD47" i="106"/>
  <c r="HA47" i="106"/>
  <c r="HD80" i="106"/>
  <c r="HA80" i="106"/>
  <c r="HC81" i="106"/>
  <c r="GY81" i="106"/>
  <c r="GZ81" i="106"/>
  <c r="HD44" i="106"/>
  <c r="HA44" i="106"/>
  <c r="HC32" i="106"/>
  <c r="GY32" i="106"/>
  <c r="GZ32" i="106"/>
  <c r="GY77" i="106"/>
  <c r="HC77" i="106"/>
  <c r="GZ77" i="106"/>
  <c r="HD62" i="106"/>
  <c r="HA62" i="106"/>
  <c r="HD41" i="106"/>
  <c r="HA41" i="106"/>
  <c r="HD40" i="106"/>
  <c r="HA40" i="106"/>
  <c r="HC73" i="106"/>
  <c r="GY73" i="106"/>
  <c r="GZ73" i="106"/>
  <c r="HC45" i="106"/>
  <c r="GY45" i="106"/>
  <c r="GZ45" i="106"/>
  <c r="HE60" i="106"/>
  <c r="HF60" i="106"/>
  <c r="GY27" i="106"/>
  <c r="HC27" i="106"/>
  <c r="GZ27" i="106"/>
  <c r="HD32" i="106"/>
  <c r="HA32" i="106"/>
  <c r="HC41" i="106"/>
  <c r="GY41" i="106"/>
  <c r="GZ41" i="106"/>
  <c r="HD59" i="106"/>
  <c r="HA59" i="106"/>
  <c r="HD73" i="106"/>
  <c r="HA73" i="106"/>
  <c r="HD45" i="106"/>
  <c r="HA45" i="106"/>
  <c r="HC67" i="106"/>
  <c r="GY67" i="106"/>
  <c r="GZ67" i="106"/>
  <c r="HD38" i="106"/>
  <c r="HA38" i="106"/>
  <c r="HD27" i="106"/>
  <c r="HA27" i="106"/>
  <c r="HD49" i="106"/>
  <c r="HA49" i="106"/>
  <c r="HD65" i="106"/>
  <c r="HA65" i="106"/>
  <c r="HC59" i="106"/>
  <c r="GY59" i="106"/>
  <c r="GZ59" i="106"/>
  <c r="GY48" i="106"/>
  <c r="HC48" i="106"/>
  <c r="GZ48" i="106"/>
  <c r="HC84" i="106"/>
  <c r="GY84" i="106"/>
  <c r="GZ84" i="106"/>
  <c r="HD67" i="106"/>
  <c r="HA67" i="106"/>
  <c r="HC38" i="106"/>
  <c r="GY38" i="106"/>
  <c r="GZ38" i="106"/>
  <c r="HC49" i="106"/>
  <c r="GY49" i="106"/>
  <c r="GZ49" i="106"/>
  <c r="GY65" i="106"/>
  <c r="HC65" i="106"/>
  <c r="GZ65" i="106"/>
  <c r="HD35" i="106"/>
  <c r="HA35" i="106"/>
  <c r="HC31" i="106"/>
  <c r="GY31" i="106"/>
  <c r="GZ31" i="106"/>
  <c r="HD48" i="106"/>
  <c r="HA48" i="106"/>
  <c r="HD82" i="106"/>
  <c r="HA82" i="106"/>
  <c r="GY50" i="106"/>
  <c r="HC50" i="106"/>
  <c r="GZ50" i="106"/>
  <c r="HD84" i="106"/>
  <c r="HA84" i="106"/>
  <c r="HC36" i="106"/>
  <c r="GY36" i="106"/>
  <c r="GZ36" i="106"/>
  <c r="HC66" i="106"/>
  <c r="GY66" i="106"/>
  <c r="GZ66" i="106"/>
  <c r="HC57" i="106"/>
  <c r="GY57" i="106"/>
  <c r="GZ57" i="106"/>
  <c r="HC54" i="106"/>
  <c r="GY54" i="106"/>
  <c r="GZ54" i="106"/>
  <c r="GY35" i="106"/>
  <c r="HC35" i="106"/>
  <c r="GZ35" i="106"/>
  <c r="HD31" i="106"/>
  <c r="HA31" i="106"/>
  <c r="HC82" i="106"/>
  <c r="GY82" i="106"/>
  <c r="GZ82" i="106"/>
  <c r="HD50" i="106"/>
  <c r="HG50" i="106" s="1"/>
  <c r="HA50" i="106"/>
  <c r="HG60" i="106"/>
  <c r="HD36" i="106"/>
  <c r="HA36" i="106"/>
  <c r="HD66" i="106"/>
  <c r="HA66" i="106"/>
  <c r="GY76" i="106"/>
  <c r="HC76" i="106"/>
  <c r="GZ76" i="106"/>
  <c r="HD57" i="106"/>
  <c r="HG57" i="106" s="1"/>
  <c r="HA57" i="106"/>
  <c r="HC58" i="106"/>
  <c r="GY58" i="106"/>
  <c r="GZ58" i="106"/>
  <c r="HD34" i="106"/>
  <c r="HA34" i="106"/>
  <c r="HB34" i="106" s="1"/>
  <c r="HX34" i="106" s="1"/>
  <c r="HD54" i="106"/>
  <c r="HA54" i="106"/>
  <c r="HC26" i="106"/>
  <c r="GY26" i="106"/>
  <c r="GZ26" i="106"/>
  <c r="HD42" i="106"/>
  <c r="HA42" i="106"/>
  <c r="HC85" i="106"/>
  <c r="GY85" i="106"/>
  <c r="GZ85" i="106"/>
  <c r="GY69" i="106"/>
  <c r="HC69" i="106"/>
  <c r="GZ69" i="106"/>
  <c r="HD51" i="106"/>
  <c r="HA51" i="106"/>
  <c r="HD58" i="106"/>
  <c r="HA58" i="106"/>
  <c r="HD26" i="106"/>
  <c r="HA26" i="106"/>
  <c r="HC42" i="106"/>
  <c r="GY42" i="106"/>
  <c r="GZ42" i="106"/>
  <c r="GY33" i="106"/>
  <c r="HC33" i="106"/>
  <c r="GZ33" i="106"/>
  <c r="HD71" i="106"/>
  <c r="HA71" i="106"/>
  <c r="HD85" i="106"/>
  <c r="HA85" i="106"/>
  <c r="GY28" i="106"/>
  <c r="HC28" i="106"/>
  <c r="GZ28" i="106"/>
  <c r="HD69" i="106"/>
  <c r="HA69" i="106"/>
  <c r="GY52" i="106"/>
  <c r="HC52" i="106"/>
  <c r="GZ52" i="106"/>
  <c r="HD76" i="106"/>
  <c r="HA76" i="106"/>
  <c r="GY51" i="106"/>
  <c r="HC51" i="106"/>
  <c r="GZ51" i="106"/>
  <c r="HF70" i="106"/>
  <c r="HE70" i="106"/>
  <c r="HD33" i="106"/>
  <c r="HA33" i="106"/>
  <c r="HC71" i="106"/>
  <c r="GY71" i="106"/>
  <c r="GZ71" i="106"/>
  <c r="HD28" i="106"/>
  <c r="HA28" i="106"/>
  <c r="HG70" i="106"/>
  <c r="HC78" i="106"/>
  <c r="GY78" i="106"/>
  <c r="GZ78" i="106"/>
  <c r="HD52" i="106"/>
  <c r="HA52" i="106"/>
  <c r="GY83" i="106"/>
  <c r="HC83" i="106"/>
  <c r="GZ83" i="106"/>
  <c r="GY74" i="106"/>
  <c r="HC74" i="106"/>
  <c r="GZ74" i="106"/>
  <c r="HC30" i="106"/>
  <c r="GY30" i="106"/>
  <c r="GZ30" i="106"/>
  <c r="GY46" i="106"/>
  <c r="HC46" i="106"/>
  <c r="GZ46" i="106"/>
  <c r="GY75" i="106"/>
  <c r="HC75" i="106"/>
  <c r="GZ75" i="106"/>
  <c r="HD61" i="106"/>
  <c r="HA61" i="106"/>
  <c r="GY68" i="106"/>
  <c r="HC68" i="106"/>
  <c r="GZ68" i="106"/>
  <c r="HD78" i="106"/>
  <c r="HA78" i="106"/>
  <c r="HD74" i="106"/>
  <c r="HA74" i="106"/>
  <c r="HD30" i="106"/>
  <c r="HA30" i="106"/>
  <c r="HD46" i="106"/>
  <c r="HA46" i="106"/>
  <c r="HD75" i="106"/>
  <c r="HA75" i="106"/>
  <c r="HC61" i="106"/>
  <c r="GY61" i="106"/>
  <c r="GZ61" i="106"/>
  <c r="HD68" i="106"/>
  <c r="HA68" i="106"/>
  <c r="HD53" i="106"/>
  <c r="HA53" i="106"/>
  <c r="BM48" i="106"/>
  <c r="HC34" i="106"/>
  <c r="HD56" i="106"/>
  <c r="HA56" i="106"/>
  <c r="HC63" i="106"/>
  <c r="GY63" i="106"/>
  <c r="GZ63" i="106"/>
  <c r="GY72" i="106"/>
  <c r="HC72" i="106"/>
  <c r="GZ72" i="106"/>
  <c r="HD29" i="106"/>
  <c r="HA29" i="106"/>
  <c r="GY53" i="106"/>
  <c r="HC53" i="106"/>
  <c r="GZ53" i="106"/>
  <c r="GY34" i="106"/>
  <c r="HC56" i="106"/>
  <c r="GY56" i="106"/>
  <c r="GZ56" i="106"/>
  <c r="HD64" i="106"/>
  <c r="HA64" i="106"/>
  <c r="HC43" i="106"/>
  <c r="GY43" i="106"/>
  <c r="GZ43" i="106"/>
  <c r="HD63" i="106"/>
  <c r="HA63" i="106"/>
  <c r="HD83" i="106"/>
  <c r="HA83" i="106"/>
  <c r="HD72" i="106"/>
  <c r="HA72" i="106"/>
  <c r="HB60" i="106"/>
  <c r="HX60" i="106" s="1"/>
  <c r="GY86" i="106"/>
  <c r="HC86" i="106"/>
  <c r="GZ86" i="106"/>
  <c r="GY29" i="106"/>
  <c r="HC29" i="106"/>
  <c r="GZ29" i="106"/>
  <c r="GY47" i="106"/>
  <c r="HC47" i="106"/>
  <c r="GZ47" i="106"/>
  <c r="HD37" i="106"/>
  <c r="HA37" i="106"/>
  <c r="HB37" i="106" s="1"/>
  <c r="HX37" i="106" s="1"/>
  <c r="GY80" i="106"/>
  <c r="HC80" i="106"/>
  <c r="GZ80" i="106"/>
  <c r="HD81" i="106"/>
  <c r="HA81" i="106"/>
  <c r="HC44" i="106"/>
  <c r="GY44" i="106"/>
  <c r="GZ44" i="106"/>
  <c r="HD77" i="106"/>
  <c r="HA77" i="106"/>
  <c r="GY62" i="106"/>
  <c r="HC62" i="106"/>
  <c r="GZ62" i="106"/>
  <c r="GY40" i="106"/>
  <c r="HC40" i="106"/>
  <c r="GZ40" i="106"/>
  <c r="HC64" i="106"/>
  <c r="GY64" i="106"/>
  <c r="GZ64" i="106"/>
  <c r="HD43" i="106"/>
  <c r="HA43" i="106"/>
  <c r="HC37" i="106"/>
  <c r="FZ20" i="72"/>
  <c r="FP20" i="72" s="1"/>
  <c r="AJ39" i="72" s="1"/>
  <c r="AP39" i="72" s="1"/>
  <c r="DI24" i="73"/>
  <c r="DO24" i="73"/>
  <c r="GX29" i="73"/>
  <c r="HA29" i="73" s="1"/>
  <c r="GX47" i="73"/>
  <c r="GV49" i="73"/>
  <c r="GX57" i="73"/>
  <c r="HA57" i="73" s="1"/>
  <c r="GX82" i="73"/>
  <c r="HA82" i="73" s="1"/>
  <c r="GV75" i="73"/>
  <c r="GV36" i="73"/>
  <c r="GX60" i="73"/>
  <c r="HA60" i="73" s="1"/>
  <c r="GV73" i="73"/>
  <c r="GX32" i="73"/>
  <c r="HA32" i="73" s="1"/>
  <c r="GV69" i="73"/>
  <c r="GX79" i="73"/>
  <c r="HA79" i="73" s="1"/>
  <c r="GX61" i="73"/>
  <c r="HA61" i="73" s="1"/>
  <c r="GV56" i="73"/>
  <c r="GX69" i="73"/>
  <c r="HA69" i="73" s="1"/>
  <c r="GX46" i="73"/>
  <c r="HA46" i="73" s="1"/>
  <c r="GV45" i="73"/>
  <c r="GV38" i="73"/>
  <c r="GX73" i="73"/>
  <c r="HA73" i="73" s="1"/>
  <c r="GV83" i="73"/>
  <c r="GX50" i="73"/>
  <c r="HA50" i="73" s="1"/>
  <c r="GX44" i="73"/>
  <c r="HA44" i="73" s="1"/>
  <c r="GX81" i="73"/>
  <c r="HA81" i="73" s="1"/>
  <c r="GX51" i="73"/>
  <c r="HA51" i="73" s="1"/>
  <c r="GV41" i="73"/>
  <c r="GX68" i="73"/>
  <c r="HA68" i="73" s="1"/>
  <c r="GX76" i="73"/>
  <c r="HA76" i="73" s="1"/>
  <c r="GX64" i="73"/>
  <c r="HA64" i="73" s="1"/>
  <c r="GV68" i="73"/>
  <c r="GX80" i="73"/>
  <c r="HA80" i="73" s="1"/>
  <c r="GV29" i="73"/>
  <c r="GX55" i="73"/>
  <c r="HA55" i="73" s="1"/>
  <c r="GX59" i="73"/>
  <c r="HA59" i="73" s="1"/>
  <c r="GV70" i="73"/>
  <c r="GV30" i="73"/>
  <c r="GX54" i="73"/>
  <c r="HA54" i="73" s="1"/>
  <c r="GV27" i="73"/>
  <c r="GV60" i="73"/>
  <c r="GX71" i="73"/>
  <c r="HA71" i="73" s="1"/>
  <c r="GV62" i="73"/>
  <c r="GV32" i="73"/>
  <c r="GX86" i="73"/>
  <c r="HA86" i="73" s="1"/>
  <c r="GV77" i="73"/>
  <c r="GV58" i="73"/>
  <c r="GV52" i="73"/>
  <c r="GX85" i="73"/>
  <c r="HA85" i="73" s="1"/>
  <c r="GX56" i="73"/>
  <c r="HA56" i="73" s="1"/>
  <c r="GX74" i="73"/>
  <c r="HA74" i="73" s="1"/>
  <c r="GX83" i="73"/>
  <c r="HA83" i="73" s="1"/>
  <c r="GX67" i="73"/>
  <c r="HA67" i="73" s="1"/>
  <c r="GV61" i="73"/>
  <c r="GV28" i="73"/>
  <c r="GX49" i="73"/>
  <c r="HA49" i="73" s="1"/>
  <c r="GX38" i="73"/>
  <c r="HA38" i="73" s="1"/>
  <c r="GX37" i="73"/>
  <c r="HA37" i="73" s="1"/>
  <c r="GX39" i="73"/>
  <c r="HA39" i="73" s="1"/>
  <c r="GX48" i="73"/>
  <c r="HA47" i="73"/>
  <c r="FR49" i="73"/>
  <c r="BV50" i="73"/>
  <c r="GW45" i="73"/>
  <c r="GJ45" i="73"/>
  <c r="GJ62" i="73"/>
  <c r="GW62" i="73"/>
  <c r="GW53" i="73"/>
  <c r="GJ53" i="73"/>
  <c r="GV35" i="73"/>
  <c r="GV64" i="73"/>
  <c r="GJ69" i="73"/>
  <c r="GW69" i="73"/>
  <c r="GV51" i="73"/>
  <c r="GJ31" i="73"/>
  <c r="GW31" i="73"/>
  <c r="GJ41" i="73"/>
  <c r="GW41" i="73"/>
  <c r="GJ44" i="73"/>
  <c r="GW44" i="73"/>
  <c r="GX31" i="73"/>
  <c r="GX52" i="73"/>
  <c r="GW81" i="73"/>
  <c r="GJ81" i="73"/>
  <c r="GX41" i="73"/>
  <c r="GJ54" i="73"/>
  <c r="GW54" i="73"/>
  <c r="FP33" i="73"/>
  <c r="GW82" i="73"/>
  <c r="GJ82" i="73"/>
  <c r="GV43" i="73"/>
  <c r="GJ84" i="73"/>
  <c r="GW84" i="73"/>
  <c r="GJ83" i="73"/>
  <c r="GW83" i="73"/>
  <c r="FP52" i="73"/>
  <c r="BK40" i="73"/>
  <c r="CA40" i="73" s="1"/>
  <c r="FP49" i="73"/>
  <c r="BP50" i="73"/>
  <c r="GJ30" i="73"/>
  <c r="GW30" i="73"/>
  <c r="GV34" i="73"/>
  <c r="GV26" i="73"/>
  <c r="GV59" i="73"/>
  <c r="GX63" i="73"/>
  <c r="GX36" i="73"/>
  <c r="GW26" i="73"/>
  <c r="GJ26" i="73"/>
  <c r="CP33" i="73"/>
  <c r="CZ32" i="73" s="1"/>
  <c r="CU32" i="73"/>
  <c r="GJ58" i="73"/>
  <c r="GW58" i="73"/>
  <c r="GJ57" i="73"/>
  <c r="GW57" i="73"/>
  <c r="GJ34" i="73"/>
  <c r="GW34" i="73"/>
  <c r="GJ28" i="73"/>
  <c r="GW28" i="73"/>
  <c r="GJ75" i="73"/>
  <c r="GW75" i="73"/>
  <c r="GV84" i="73"/>
  <c r="GJ43" i="73"/>
  <c r="GW43" i="73"/>
  <c r="GJ27" i="73"/>
  <c r="GW27" i="73"/>
  <c r="GJ33" i="73"/>
  <c r="GW33" i="73"/>
  <c r="FP29" i="73"/>
  <c r="GX35" i="73"/>
  <c r="GJ38" i="73"/>
  <c r="GW38" i="73"/>
  <c r="BP40" i="73"/>
  <c r="CF40" i="73" s="1"/>
  <c r="FR52" i="73"/>
  <c r="GV55" i="73"/>
  <c r="GX43" i="73"/>
  <c r="GV86" i="73"/>
  <c r="GV82" i="73"/>
  <c r="GJ64" i="73"/>
  <c r="GW64" i="73"/>
  <c r="GJ65" i="73"/>
  <c r="GW65" i="73"/>
  <c r="GJ60" i="73"/>
  <c r="GW60" i="73"/>
  <c r="GV78" i="73"/>
  <c r="GW74" i="73"/>
  <c r="GJ74" i="73"/>
  <c r="GX62" i="73"/>
  <c r="GX75" i="73"/>
  <c r="GW52" i="73"/>
  <c r="GJ52" i="73"/>
  <c r="GJ55" i="73"/>
  <c r="GW55" i="73"/>
  <c r="GX34" i="73"/>
  <c r="GX27" i="73"/>
  <c r="GV66" i="73"/>
  <c r="GV33" i="73"/>
  <c r="GX26" i="73"/>
  <c r="GX28" i="73"/>
  <c r="GV72" i="73"/>
  <c r="GW29" i="73"/>
  <c r="GJ29" i="73"/>
  <c r="GX30" i="73"/>
  <c r="GJ47" i="73"/>
  <c r="GW47" i="73"/>
  <c r="GV44" i="73"/>
  <c r="GJ63" i="73"/>
  <c r="GW63" i="73"/>
  <c r="GW80" i="73"/>
  <c r="GJ80" i="73"/>
  <c r="GX78" i="73"/>
  <c r="GJ85" i="73"/>
  <c r="GW85" i="73"/>
  <c r="GJ36" i="73"/>
  <c r="GW36" i="73"/>
  <c r="GV40" i="73"/>
  <c r="GW42" i="73"/>
  <c r="GJ42" i="73"/>
  <c r="GV57" i="73"/>
  <c r="GW78" i="73"/>
  <c r="GJ78" i="73"/>
  <c r="GJ40" i="73"/>
  <c r="GW40" i="73"/>
  <c r="GJ46" i="73"/>
  <c r="GW46" i="73"/>
  <c r="GV42" i="73"/>
  <c r="GX70" i="73"/>
  <c r="GJ59" i="73"/>
  <c r="GW59" i="73"/>
  <c r="GV80" i="73"/>
  <c r="GW73" i="73"/>
  <c r="GJ73" i="73"/>
  <c r="GJ76" i="73"/>
  <c r="GW76" i="73"/>
  <c r="GW72" i="73"/>
  <c r="GJ72" i="73"/>
  <c r="GW56" i="73"/>
  <c r="GJ56" i="73"/>
  <c r="GV65" i="73"/>
  <c r="GV81" i="73"/>
  <c r="GX65" i="73"/>
  <c r="GV85" i="73"/>
  <c r="GX45" i="73"/>
  <c r="GV37" i="73"/>
  <c r="GX66" i="73"/>
  <c r="GJ68" i="73"/>
  <c r="GW68" i="73"/>
  <c r="GX72" i="73"/>
  <c r="GV31" i="73"/>
  <c r="GX84" i="73"/>
  <c r="GW37" i="73"/>
  <c r="GJ37" i="73"/>
  <c r="GV53" i="73"/>
  <c r="GW32" i="73"/>
  <c r="GJ32" i="73"/>
  <c r="GX40" i="73"/>
  <c r="GV67" i="73"/>
  <c r="GJ61" i="73"/>
  <c r="GW61" i="73"/>
  <c r="GV74" i="73"/>
  <c r="GX53" i="73"/>
  <c r="GV54" i="73"/>
  <c r="GJ77" i="73"/>
  <c r="GW77" i="73"/>
  <c r="GX42" i="73"/>
  <c r="GV39" i="73"/>
  <c r="GV79" i="73"/>
  <c r="GV50" i="73"/>
  <c r="GJ48" i="73"/>
  <c r="GW48" i="73"/>
  <c r="GJ66" i="73"/>
  <c r="GW66" i="73"/>
  <c r="GX58" i="73"/>
  <c r="GV71" i="73"/>
  <c r="GV48" i="73"/>
  <c r="GX77" i="73"/>
  <c r="GJ70" i="73"/>
  <c r="GW70" i="73"/>
  <c r="GV47" i="73"/>
  <c r="GJ67" i="73"/>
  <c r="GW67" i="73"/>
  <c r="GJ86" i="73"/>
  <c r="GW86" i="73"/>
  <c r="GW39" i="73"/>
  <c r="GJ39" i="73"/>
  <c r="GJ71" i="73"/>
  <c r="GW71" i="73"/>
  <c r="GJ35" i="73"/>
  <c r="GW35" i="73"/>
  <c r="GJ51" i="73"/>
  <c r="GW51" i="73"/>
  <c r="GW49" i="73"/>
  <c r="GJ49" i="73"/>
  <c r="GW50" i="73"/>
  <c r="GJ50" i="73"/>
  <c r="GW79" i="73"/>
  <c r="GJ79" i="73"/>
  <c r="GX33" i="73"/>
  <c r="GV76" i="73"/>
  <c r="DD34" i="72"/>
  <c r="BU41" i="72"/>
  <c r="GB26" i="72"/>
  <c r="GE26" i="72"/>
  <c r="GC26" i="72"/>
  <c r="GN26" i="72"/>
  <c r="GO26" i="72"/>
  <c r="GE27" i="72"/>
  <c r="GC27" i="72"/>
  <c r="GB27" i="72"/>
  <c r="GO27" i="72"/>
  <c r="GN27" i="72"/>
  <c r="GB28" i="72"/>
  <c r="GE28" i="72"/>
  <c r="GC28" i="72"/>
  <c r="GO28" i="72"/>
  <c r="GN28" i="72"/>
  <c r="GE29" i="72"/>
  <c r="GB29" i="72"/>
  <c r="GC29" i="72"/>
  <c r="GN29" i="72"/>
  <c r="GO29" i="72"/>
  <c r="GC30" i="72"/>
  <c r="GE30" i="72"/>
  <c r="GB30" i="72"/>
  <c r="GO30" i="72"/>
  <c r="GN30" i="72"/>
  <c r="GB32" i="72"/>
  <c r="GE32" i="72"/>
  <c r="GC32" i="72"/>
  <c r="GO32" i="72"/>
  <c r="GN32" i="72"/>
  <c r="GC34" i="72"/>
  <c r="GE34" i="72"/>
  <c r="GB34" i="72"/>
  <c r="GO34" i="72"/>
  <c r="GN34" i="72"/>
  <c r="GB36" i="72"/>
  <c r="GE36" i="72"/>
  <c r="GC36" i="72"/>
  <c r="GO36" i="72"/>
  <c r="GN36" i="72"/>
  <c r="GE37" i="72"/>
  <c r="GB37" i="72"/>
  <c r="GC37" i="72"/>
  <c r="GN37" i="72"/>
  <c r="GO37" i="72"/>
  <c r="GE39" i="72"/>
  <c r="GC39" i="72"/>
  <c r="GB39" i="72"/>
  <c r="GO39" i="72"/>
  <c r="GN39" i="72"/>
  <c r="GE45" i="72"/>
  <c r="GB45" i="72"/>
  <c r="GC45" i="72"/>
  <c r="GN45" i="72"/>
  <c r="GO45" i="72"/>
  <c r="GE47" i="72"/>
  <c r="GC47" i="72"/>
  <c r="GB47" i="72"/>
  <c r="GO47" i="72"/>
  <c r="GN47" i="72"/>
  <c r="GB48" i="72"/>
  <c r="GE48" i="72"/>
  <c r="GC48" i="72"/>
  <c r="GO48" i="72"/>
  <c r="GN48" i="72"/>
  <c r="GE49" i="72"/>
  <c r="GB49" i="72"/>
  <c r="GC49" i="72"/>
  <c r="GN49" i="72"/>
  <c r="GO49" i="72"/>
  <c r="GC50" i="72"/>
  <c r="GE50" i="72"/>
  <c r="GB50" i="72"/>
  <c r="GO50" i="72"/>
  <c r="GN50" i="72"/>
  <c r="GE51" i="72"/>
  <c r="GC51" i="72"/>
  <c r="GB51" i="72"/>
  <c r="GO51" i="72"/>
  <c r="GN51" i="72"/>
  <c r="GB52" i="72"/>
  <c r="GE52" i="72"/>
  <c r="GC52" i="72"/>
  <c r="GO52" i="72"/>
  <c r="GN52" i="72"/>
  <c r="GE53" i="72"/>
  <c r="GB53" i="72"/>
  <c r="GC53" i="72"/>
  <c r="GN53" i="72"/>
  <c r="GO53" i="72"/>
  <c r="GC54" i="72"/>
  <c r="GE54" i="72"/>
  <c r="GB54" i="72"/>
  <c r="GO54" i="72"/>
  <c r="GN54" i="72"/>
  <c r="GE55" i="72"/>
  <c r="GC55" i="72"/>
  <c r="GB55" i="72"/>
  <c r="GO55" i="72"/>
  <c r="GN55" i="72"/>
  <c r="GB56" i="72"/>
  <c r="GE56" i="72"/>
  <c r="GC56" i="72"/>
  <c r="GO56" i="72"/>
  <c r="GN56" i="72"/>
  <c r="GE57" i="72"/>
  <c r="GB57" i="72"/>
  <c r="GC57" i="72"/>
  <c r="GN57" i="72"/>
  <c r="GO57" i="72"/>
  <c r="GC58" i="72"/>
  <c r="GE58" i="72"/>
  <c r="GB58" i="72"/>
  <c r="GO58" i="72"/>
  <c r="GN58" i="72"/>
  <c r="GE59" i="72"/>
  <c r="GC59" i="72"/>
  <c r="GB59" i="72"/>
  <c r="GO59" i="72"/>
  <c r="GN59" i="72"/>
  <c r="GB60" i="72"/>
  <c r="GE60" i="72"/>
  <c r="GC60" i="72"/>
  <c r="GO60" i="72"/>
  <c r="GN60" i="72"/>
  <c r="GE61" i="72"/>
  <c r="GB61" i="72"/>
  <c r="GC61" i="72"/>
  <c r="GN61" i="72"/>
  <c r="GO61" i="72"/>
  <c r="GE62" i="72"/>
  <c r="GB62" i="72"/>
  <c r="GO62" i="72"/>
  <c r="GC62" i="72"/>
  <c r="GN62" i="72"/>
  <c r="GE63" i="72"/>
  <c r="GB63" i="72"/>
  <c r="GC63" i="72"/>
  <c r="GO63" i="72"/>
  <c r="GN63" i="72"/>
  <c r="GE64" i="72"/>
  <c r="GC64" i="72"/>
  <c r="GO64" i="72"/>
  <c r="GB64" i="72"/>
  <c r="GN64" i="72"/>
  <c r="GE65" i="72"/>
  <c r="GC65" i="72"/>
  <c r="GB65" i="72"/>
  <c r="GN65" i="72"/>
  <c r="GO65" i="72"/>
  <c r="GE66" i="72"/>
  <c r="GB66" i="72"/>
  <c r="GC66" i="72"/>
  <c r="GO66" i="72"/>
  <c r="GN66" i="72"/>
  <c r="GE67" i="72"/>
  <c r="GB67" i="72"/>
  <c r="GC67" i="72"/>
  <c r="GO67" i="72"/>
  <c r="GN67" i="72"/>
  <c r="GE68" i="72"/>
  <c r="GC68" i="72"/>
  <c r="GB68" i="72"/>
  <c r="GO68" i="72"/>
  <c r="GN68" i="72"/>
  <c r="GE69" i="72"/>
  <c r="GC69" i="72"/>
  <c r="GB69" i="72"/>
  <c r="GN69" i="72"/>
  <c r="GO69" i="72"/>
  <c r="GE70" i="72"/>
  <c r="GC70" i="72"/>
  <c r="GO70" i="72"/>
  <c r="GB70" i="72"/>
  <c r="GN70" i="72"/>
  <c r="GE71" i="72"/>
  <c r="GC71" i="72"/>
  <c r="GB71" i="72"/>
  <c r="GO71" i="72"/>
  <c r="GN71" i="72"/>
  <c r="GE72" i="72"/>
  <c r="GB72" i="72"/>
  <c r="GO72" i="72"/>
  <c r="GC72" i="72"/>
  <c r="GN72" i="72"/>
  <c r="GE73" i="72"/>
  <c r="GB73" i="72"/>
  <c r="GC73" i="72"/>
  <c r="GN73" i="72"/>
  <c r="GO73" i="72"/>
  <c r="GE74" i="72"/>
  <c r="GC74" i="72"/>
  <c r="GO74" i="72"/>
  <c r="GB74" i="72"/>
  <c r="GN74" i="72"/>
  <c r="GE75" i="72"/>
  <c r="GC75" i="72"/>
  <c r="GB75" i="72"/>
  <c r="GO75" i="72"/>
  <c r="GN75" i="72"/>
  <c r="GE76" i="72"/>
  <c r="GB76" i="72"/>
  <c r="GO76" i="72"/>
  <c r="GC76" i="72"/>
  <c r="GN76" i="72"/>
  <c r="GE77" i="72"/>
  <c r="GB77" i="72"/>
  <c r="GC77" i="72"/>
  <c r="GN77" i="72"/>
  <c r="GO77" i="72"/>
  <c r="GE78" i="72"/>
  <c r="GC78" i="72"/>
  <c r="GO78" i="72"/>
  <c r="GB78" i="72"/>
  <c r="GN78" i="72"/>
  <c r="GE79" i="72"/>
  <c r="GC79" i="72"/>
  <c r="GB79" i="72"/>
  <c r="GO79" i="72"/>
  <c r="GN79" i="72"/>
  <c r="GE80" i="72"/>
  <c r="GB80" i="72"/>
  <c r="GC80" i="72"/>
  <c r="GO80" i="72"/>
  <c r="GN80" i="72"/>
  <c r="GE81" i="72"/>
  <c r="GB81" i="72"/>
  <c r="GC81" i="72"/>
  <c r="GO81" i="72"/>
  <c r="GN81" i="72"/>
  <c r="GE82" i="72"/>
  <c r="GC82" i="72"/>
  <c r="GB82" i="72"/>
  <c r="GO82" i="72"/>
  <c r="GN82" i="72"/>
  <c r="GE83" i="72"/>
  <c r="GC83" i="72"/>
  <c r="GB83" i="72"/>
  <c r="GO83" i="72"/>
  <c r="GN83" i="72"/>
  <c r="GE84" i="72"/>
  <c r="GC84" i="72"/>
  <c r="GB84" i="72"/>
  <c r="GO84" i="72"/>
  <c r="GN84" i="72"/>
  <c r="GE85" i="72"/>
  <c r="GC85" i="72"/>
  <c r="GB85" i="72"/>
  <c r="GO85" i="72"/>
  <c r="GN85" i="72"/>
  <c r="GE86" i="72"/>
  <c r="GC86" i="72"/>
  <c r="GB86" i="72"/>
  <c r="GO86" i="72"/>
  <c r="GN86" i="72"/>
  <c r="GE31" i="72"/>
  <c r="GC31" i="72"/>
  <c r="GB31" i="72"/>
  <c r="GO31" i="72"/>
  <c r="GN31" i="72"/>
  <c r="GE33" i="72"/>
  <c r="GB33" i="72"/>
  <c r="GC33" i="72"/>
  <c r="GN33" i="72"/>
  <c r="GO33" i="72"/>
  <c r="GE35" i="72"/>
  <c r="GC35" i="72"/>
  <c r="GB35" i="72"/>
  <c r="GO35" i="72"/>
  <c r="GN35" i="72"/>
  <c r="GC38" i="72"/>
  <c r="GE38" i="72"/>
  <c r="GB38" i="72"/>
  <c r="GO38" i="72"/>
  <c r="GN38" i="72"/>
  <c r="GB40" i="72"/>
  <c r="GE40" i="72"/>
  <c r="GC40" i="72"/>
  <c r="GO40" i="72"/>
  <c r="GN40" i="72"/>
  <c r="GE41" i="72"/>
  <c r="GB41" i="72"/>
  <c r="GC41" i="72"/>
  <c r="GN41" i="72"/>
  <c r="GO41" i="72"/>
  <c r="GC42" i="72"/>
  <c r="GE42" i="72"/>
  <c r="GB42" i="72"/>
  <c r="GO42" i="72"/>
  <c r="GN42" i="72"/>
  <c r="GE43" i="72"/>
  <c r="GC43" i="72"/>
  <c r="GB43" i="72"/>
  <c r="GO43" i="72"/>
  <c r="GN43" i="72"/>
  <c r="GB44" i="72"/>
  <c r="GE44" i="72"/>
  <c r="GC44" i="72"/>
  <c r="GO44" i="72"/>
  <c r="GN44" i="72"/>
  <c r="GC46" i="72"/>
  <c r="GE46" i="72"/>
  <c r="GB46" i="72"/>
  <c r="GO46" i="72"/>
  <c r="GN46" i="72"/>
  <c r="FZ11" i="72"/>
  <c r="FP11" i="72" s="1"/>
  <c r="AJ30" i="72" s="1"/>
  <c r="FZ13" i="72"/>
  <c r="FP13" i="72" s="1"/>
  <c r="AJ32" i="72" s="1"/>
  <c r="I70" i="72"/>
  <c r="I72" i="72" s="1"/>
  <c r="DI34" i="72"/>
  <c r="CL36" i="72"/>
  <c r="DD35" i="72"/>
  <c r="CG36" i="72"/>
  <c r="I76" i="72"/>
  <c r="I78" i="72" s="1"/>
  <c r="HG39" i="106" l="1"/>
  <c r="FC10" i="106"/>
  <c r="HB86" i="106"/>
  <c r="HX86" i="106" s="1"/>
  <c r="HB39" i="106"/>
  <c r="HX39" i="106" s="1"/>
  <c r="CX6" i="106"/>
  <c r="DN6" i="106" s="1"/>
  <c r="HE55" i="106"/>
  <c r="FR58" i="106"/>
  <c r="FR48" i="106" s="1"/>
  <c r="HE79" i="106"/>
  <c r="CO6" i="106"/>
  <c r="DH6" i="106" s="1"/>
  <c r="HG48" i="106"/>
  <c r="HG76" i="106"/>
  <c r="HG55" i="106"/>
  <c r="HF39" i="106"/>
  <c r="HF55" i="106"/>
  <c r="HE39" i="106"/>
  <c r="HB28" i="106"/>
  <c r="HX28" i="106" s="1"/>
  <c r="HG27" i="106"/>
  <c r="HB41" i="106"/>
  <c r="HX41" i="106" s="1"/>
  <c r="HF79" i="106"/>
  <c r="HG79" i="106"/>
  <c r="FP58" i="106"/>
  <c r="HB47" i="106"/>
  <c r="HX47" i="106" s="1"/>
  <c r="HB80" i="106"/>
  <c r="HX80" i="106" s="1"/>
  <c r="HB57" i="106"/>
  <c r="HX57" i="106" s="1"/>
  <c r="HG61" i="106"/>
  <c r="HB26" i="106"/>
  <c r="HX26" i="106" s="1"/>
  <c r="HG28" i="106"/>
  <c r="HB38" i="106"/>
  <c r="HX38" i="106" s="1"/>
  <c r="HG74" i="106"/>
  <c r="HB52" i="106"/>
  <c r="HX52" i="106" s="1"/>
  <c r="HB35" i="106"/>
  <c r="HX35" i="106" s="1"/>
  <c r="HB62" i="106"/>
  <c r="HX62" i="106" s="1"/>
  <c r="HB33" i="106"/>
  <c r="HX33" i="106" s="1"/>
  <c r="HB69" i="106"/>
  <c r="HX69" i="106" s="1"/>
  <c r="HG54" i="106"/>
  <c r="HG37" i="106"/>
  <c r="HB56" i="106"/>
  <c r="HX56" i="106" s="1"/>
  <c r="HB63" i="106"/>
  <c r="HX63" i="106" s="1"/>
  <c r="HG32" i="106"/>
  <c r="HG73" i="106"/>
  <c r="HG63" i="106"/>
  <c r="HB84" i="106"/>
  <c r="HX84" i="106" s="1"/>
  <c r="HG49" i="106"/>
  <c r="HB45" i="106"/>
  <c r="HX45" i="106" s="1"/>
  <c r="HG46" i="106"/>
  <c r="HB66" i="106"/>
  <c r="HX66" i="106" s="1"/>
  <c r="HB40" i="106"/>
  <c r="HX40" i="106" s="1"/>
  <c r="HG81" i="106"/>
  <c r="HB75" i="106"/>
  <c r="HX75" i="106" s="1"/>
  <c r="HG31" i="106"/>
  <c r="HG38" i="106"/>
  <c r="HG77" i="106"/>
  <c r="HG83" i="106"/>
  <c r="HG36" i="106"/>
  <c r="HB44" i="106"/>
  <c r="HX44" i="106" s="1"/>
  <c r="HG33" i="106"/>
  <c r="HG67" i="106"/>
  <c r="HG45" i="106"/>
  <c r="HG41" i="106"/>
  <c r="HG72" i="106"/>
  <c r="HB64" i="106"/>
  <c r="HX64" i="106" s="1"/>
  <c r="HG69" i="106"/>
  <c r="HB51" i="106"/>
  <c r="HX51" i="106" s="1"/>
  <c r="HG26" i="106"/>
  <c r="HB49" i="106"/>
  <c r="HX49" i="106" s="1"/>
  <c r="HG29" i="106"/>
  <c r="HG30" i="106"/>
  <c r="HJ70" i="106"/>
  <c r="HG64" i="106"/>
  <c r="HB72" i="106"/>
  <c r="HX72" i="106" s="1"/>
  <c r="HG53" i="106"/>
  <c r="HG68" i="106"/>
  <c r="HB71" i="106"/>
  <c r="HX71" i="106" s="1"/>
  <c r="HF64" i="106"/>
  <c r="HE64" i="106"/>
  <c r="HG56" i="106"/>
  <c r="HF68" i="106"/>
  <c r="HE68" i="106"/>
  <c r="HE30" i="106"/>
  <c r="HF30" i="106"/>
  <c r="HB78" i="106"/>
  <c r="HX78" i="106" s="1"/>
  <c r="HH70" i="106"/>
  <c r="HO70" i="106" s="1"/>
  <c r="HI70" i="106"/>
  <c r="HE54" i="106"/>
  <c r="HF54" i="106"/>
  <c r="HB50" i="106"/>
  <c r="HX50" i="106" s="1"/>
  <c r="HB65" i="106"/>
  <c r="HX65" i="106" s="1"/>
  <c r="HE59" i="106"/>
  <c r="HF59" i="106"/>
  <c r="HF27" i="106"/>
  <c r="HE27" i="106"/>
  <c r="HB81" i="106"/>
  <c r="HX81" i="106" s="1"/>
  <c r="HE42" i="106"/>
  <c r="HF42" i="106"/>
  <c r="HF85" i="106"/>
  <c r="HE85" i="106"/>
  <c r="HE58" i="106"/>
  <c r="HF58" i="106"/>
  <c r="HE50" i="106"/>
  <c r="HF50" i="106"/>
  <c r="HF65" i="106"/>
  <c r="HE65" i="106"/>
  <c r="HF43" i="106"/>
  <c r="HE43" i="106"/>
  <c r="HF34" i="106"/>
  <c r="HE34" i="106"/>
  <c r="HF40" i="106"/>
  <c r="HE40" i="106"/>
  <c r="HF86" i="106"/>
  <c r="HE86" i="106"/>
  <c r="FR57" i="106"/>
  <c r="FP35" i="106" s="1"/>
  <c r="ET22" i="106"/>
  <c r="HF78" i="106"/>
  <c r="HE78" i="106"/>
  <c r="HE51" i="106"/>
  <c r="HF51" i="106"/>
  <c r="HE28" i="106"/>
  <c r="HF28" i="106"/>
  <c r="HB82" i="106"/>
  <c r="HX82" i="106" s="1"/>
  <c r="HG65" i="106"/>
  <c r="HH60" i="106"/>
  <c r="HO60" i="106" s="1"/>
  <c r="HI60" i="106"/>
  <c r="HF81" i="106"/>
  <c r="HE81" i="106"/>
  <c r="HG42" i="106"/>
  <c r="HE57" i="106"/>
  <c r="HF57" i="106"/>
  <c r="HJ57" i="106" s="1"/>
  <c r="HG62" i="106"/>
  <c r="HF72" i="106"/>
  <c r="HE72" i="106"/>
  <c r="HB74" i="106"/>
  <c r="HX74" i="106" s="1"/>
  <c r="HB76" i="106"/>
  <c r="HX76" i="106" s="1"/>
  <c r="HF82" i="106"/>
  <c r="HE82" i="106"/>
  <c r="HG82" i="106"/>
  <c r="HB77" i="106"/>
  <c r="HX77" i="106" s="1"/>
  <c r="HG80" i="106"/>
  <c r="HF62" i="106"/>
  <c r="HE62" i="106"/>
  <c r="HF75" i="106"/>
  <c r="HE75" i="106"/>
  <c r="HF74" i="106"/>
  <c r="HE74" i="106"/>
  <c r="HG85" i="106"/>
  <c r="HG58" i="106"/>
  <c r="HE76" i="106"/>
  <c r="HF76" i="106"/>
  <c r="HF49" i="106"/>
  <c r="HE49" i="106"/>
  <c r="HG59" i="106"/>
  <c r="HE77" i="106"/>
  <c r="HF77" i="106"/>
  <c r="HE26" i="106"/>
  <c r="HF26" i="106"/>
  <c r="HF66" i="106"/>
  <c r="HE66" i="106"/>
  <c r="EM23" i="106"/>
  <c r="HF84" i="106"/>
  <c r="HE84" i="106"/>
  <c r="HF45" i="106"/>
  <c r="HE45" i="106"/>
  <c r="HG47" i="106"/>
  <c r="HE37" i="106"/>
  <c r="HF37" i="106"/>
  <c r="HB61" i="106"/>
  <c r="HX61" i="106" s="1"/>
  <c r="HB46" i="106"/>
  <c r="HX46" i="106" s="1"/>
  <c r="HB83" i="106"/>
  <c r="HX83" i="106" s="1"/>
  <c r="HE52" i="106"/>
  <c r="HF52" i="106"/>
  <c r="HG71" i="106"/>
  <c r="HG51" i="106"/>
  <c r="HB36" i="106"/>
  <c r="HX36" i="106" s="1"/>
  <c r="HB31" i="106"/>
  <c r="HX31" i="106" s="1"/>
  <c r="EM22" i="106"/>
  <c r="HB48" i="106"/>
  <c r="HX48" i="106" s="1"/>
  <c r="HB73" i="106"/>
  <c r="HX73" i="106" s="1"/>
  <c r="HB32" i="106"/>
  <c r="HX32" i="106" s="1"/>
  <c r="HE47" i="106"/>
  <c r="HF47" i="106"/>
  <c r="HE56" i="106"/>
  <c r="HF56" i="106"/>
  <c r="HE46" i="106"/>
  <c r="HF46" i="106"/>
  <c r="HF83" i="106"/>
  <c r="HE83" i="106"/>
  <c r="HF71" i="106"/>
  <c r="HE71" i="106"/>
  <c r="HG66" i="106"/>
  <c r="HF35" i="106"/>
  <c r="HE35" i="106"/>
  <c r="HF48" i="106"/>
  <c r="HJ48" i="106" s="1"/>
  <c r="HE48" i="106"/>
  <c r="HF41" i="106"/>
  <c r="HE41" i="106"/>
  <c r="HG86" i="106"/>
  <c r="HG43" i="106"/>
  <c r="HF63" i="106"/>
  <c r="HE63" i="106"/>
  <c r="HF61" i="106"/>
  <c r="HE61" i="106"/>
  <c r="HG78" i="106"/>
  <c r="HE33" i="106"/>
  <c r="HF33" i="106"/>
  <c r="HF69" i="106"/>
  <c r="HE69" i="106"/>
  <c r="HE36" i="106"/>
  <c r="HF36" i="106"/>
  <c r="HE31" i="106"/>
  <c r="HF31" i="106"/>
  <c r="HB67" i="106"/>
  <c r="HX67" i="106" s="1"/>
  <c r="HF73" i="106"/>
  <c r="HE73" i="106"/>
  <c r="HE32" i="106"/>
  <c r="HF32" i="106"/>
  <c r="HE80" i="106"/>
  <c r="HF80" i="106"/>
  <c r="HB29" i="106"/>
  <c r="HX29" i="106" s="1"/>
  <c r="HB53" i="106"/>
  <c r="HX53" i="106" s="1"/>
  <c r="HB30" i="106"/>
  <c r="HX30" i="106" s="1"/>
  <c r="HG34" i="106"/>
  <c r="HB54" i="106"/>
  <c r="HX54" i="106" s="1"/>
  <c r="HB59" i="106"/>
  <c r="HX59" i="106" s="1"/>
  <c r="HE44" i="106"/>
  <c r="HF44" i="106"/>
  <c r="HE29" i="106"/>
  <c r="HF29" i="106"/>
  <c r="HB43" i="106"/>
  <c r="HX43" i="106" s="1"/>
  <c r="HE53" i="106"/>
  <c r="HF53" i="106"/>
  <c r="HG75" i="106"/>
  <c r="HB68" i="106"/>
  <c r="HX68" i="106" s="1"/>
  <c r="HG52" i="106"/>
  <c r="HB42" i="106"/>
  <c r="HX42" i="106" s="1"/>
  <c r="HB85" i="106"/>
  <c r="HX85" i="106" s="1"/>
  <c r="HB58" i="106"/>
  <c r="HX58" i="106" s="1"/>
  <c r="HJ60" i="106"/>
  <c r="HG84" i="106"/>
  <c r="HG35" i="106"/>
  <c r="HF38" i="106"/>
  <c r="HE38" i="106"/>
  <c r="HF67" i="106"/>
  <c r="HE67" i="106"/>
  <c r="HB27" i="106"/>
  <c r="HX27" i="106" s="1"/>
  <c r="HG40" i="106"/>
  <c r="HG44" i="106"/>
  <c r="FC13" i="73"/>
  <c r="FR20" i="72"/>
  <c r="GD43" i="72"/>
  <c r="GP35" i="72"/>
  <c r="GP43" i="72"/>
  <c r="FZ18" i="72"/>
  <c r="FP18" i="72" s="1"/>
  <c r="AJ37" i="72" s="1"/>
  <c r="DN34" i="72"/>
  <c r="FP51" i="72" s="1"/>
  <c r="GP78" i="72"/>
  <c r="GP70" i="72"/>
  <c r="GP62" i="72"/>
  <c r="GD56" i="72"/>
  <c r="GD48" i="72"/>
  <c r="GD59" i="72"/>
  <c r="GD51" i="72"/>
  <c r="GP32" i="72"/>
  <c r="CK32" i="72"/>
  <c r="GP46" i="72"/>
  <c r="GP74" i="72"/>
  <c r="GD60" i="72"/>
  <c r="GD52" i="72"/>
  <c r="GD55" i="72"/>
  <c r="GD47" i="72"/>
  <c r="GP39" i="72"/>
  <c r="GP27" i="72"/>
  <c r="HD29" i="73"/>
  <c r="HD47" i="73"/>
  <c r="HD44" i="73"/>
  <c r="HD82" i="73"/>
  <c r="HD57" i="73"/>
  <c r="HD67" i="73"/>
  <c r="HD68" i="73"/>
  <c r="HD79" i="73"/>
  <c r="HD32" i="73"/>
  <c r="HD64" i="73"/>
  <c r="HD86" i="73"/>
  <c r="HD81" i="73"/>
  <c r="HD73" i="73"/>
  <c r="HD50" i="73"/>
  <c r="HD46" i="73"/>
  <c r="HD69" i="73"/>
  <c r="HD80" i="73"/>
  <c r="HD39" i="73"/>
  <c r="HD54" i="73"/>
  <c r="HD85" i="73"/>
  <c r="HD48" i="73"/>
  <c r="HD71" i="73"/>
  <c r="HD76" i="73"/>
  <c r="HD55" i="73"/>
  <c r="HD83" i="73"/>
  <c r="HD56" i="73"/>
  <c r="HD49" i="73"/>
  <c r="HA48" i="73"/>
  <c r="GP72" i="72"/>
  <c r="GP64" i="72"/>
  <c r="GD40" i="72"/>
  <c r="GD72" i="72"/>
  <c r="GP59" i="72"/>
  <c r="GP51" i="72"/>
  <c r="GD39" i="72"/>
  <c r="GP36" i="72"/>
  <c r="GD27" i="72"/>
  <c r="GP45" i="72"/>
  <c r="GD65" i="72"/>
  <c r="GP55" i="72"/>
  <c r="GP47" i="72"/>
  <c r="GD45" i="72"/>
  <c r="GP37" i="72"/>
  <c r="GD37" i="72"/>
  <c r="HC70" i="73"/>
  <c r="GY70" i="73"/>
  <c r="GZ70" i="73"/>
  <c r="GY39" i="73"/>
  <c r="HC39" i="73"/>
  <c r="GZ39" i="73"/>
  <c r="HB39" i="73" s="1"/>
  <c r="HX39" i="73" s="1"/>
  <c r="HD58" i="73"/>
  <c r="HA58" i="73"/>
  <c r="HD42" i="73"/>
  <c r="HA42" i="73"/>
  <c r="HD66" i="73"/>
  <c r="HA66" i="73"/>
  <c r="HC56" i="73"/>
  <c r="GY56" i="73"/>
  <c r="GZ56" i="73"/>
  <c r="HB56" i="73" s="1"/>
  <c r="HX56" i="73" s="1"/>
  <c r="HC59" i="73"/>
  <c r="GY59" i="73"/>
  <c r="GZ59" i="73"/>
  <c r="HB59" i="73" s="1"/>
  <c r="HX59" i="73" s="1"/>
  <c r="HD26" i="73"/>
  <c r="HA26" i="73"/>
  <c r="HC52" i="73"/>
  <c r="GY52" i="73"/>
  <c r="GZ52" i="73"/>
  <c r="HC26" i="73"/>
  <c r="GY26" i="73"/>
  <c r="GZ26" i="73"/>
  <c r="GY84" i="73"/>
  <c r="HC84" i="73"/>
  <c r="GZ84" i="73"/>
  <c r="HD41" i="73"/>
  <c r="HA41" i="73"/>
  <c r="HD59" i="73"/>
  <c r="HG59" i="73" s="1"/>
  <c r="GY40" i="73"/>
  <c r="HC40" i="73"/>
  <c r="GZ40" i="73"/>
  <c r="HC37" i="73"/>
  <c r="GY37" i="73"/>
  <c r="GZ37" i="73"/>
  <c r="HB37" i="73" s="1"/>
  <c r="HX37" i="73" s="1"/>
  <c r="GY36" i="73"/>
  <c r="HC36" i="73"/>
  <c r="GZ36" i="73"/>
  <c r="HC34" i="73"/>
  <c r="GY34" i="73"/>
  <c r="GZ34" i="73"/>
  <c r="HC41" i="73"/>
  <c r="GY41" i="73"/>
  <c r="GZ41" i="73"/>
  <c r="HC49" i="73"/>
  <c r="GY49" i="73"/>
  <c r="GZ49" i="73"/>
  <c r="HB49" i="73" s="1"/>
  <c r="HX49" i="73" s="1"/>
  <c r="GY51" i="73"/>
  <c r="HC51" i="73"/>
  <c r="GZ51" i="73"/>
  <c r="HB51" i="73" s="1"/>
  <c r="HX51" i="73" s="1"/>
  <c r="HD51" i="73"/>
  <c r="HD77" i="73"/>
  <c r="HA77" i="73"/>
  <c r="GY66" i="73"/>
  <c r="HC66" i="73"/>
  <c r="GZ66" i="73"/>
  <c r="GY77" i="73"/>
  <c r="HC77" i="73"/>
  <c r="GZ77" i="73"/>
  <c r="HD40" i="73"/>
  <c r="HA40" i="73"/>
  <c r="GY85" i="73"/>
  <c r="HC85" i="73"/>
  <c r="GZ85" i="73"/>
  <c r="HB85" i="73" s="1"/>
  <c r="HX85" i="73" s="1"/>
  <c r="GY47" i="73"/>
  <c r="HC47" i="73"/>
  <c r="GZ47" i="73"/>
  <c r="HB47" i="73" s="1"/>
  <c r="HX47" i="73" s="1"/>
  <c r="HD75" i="73"/>
  <c r="HA75" i="73"/>
  <c r="GY65" i="73"/>
  <c r="HC65" i="73"/>
  <c r="GZ65" i="73"/>
  <c r="HD35" i="73"/>
  <c r="HA35" i="73"/>
  <c r="GY57" i="73"/>
  <c r="HC57" i="73"/>
  <c r="GZ57" i="73"/>
  <c r="HB57" i="73" s="1"/>
  <c r="HX57" i="73" s="1"/>
  <c r="HD36" i="73"/>
  <c r="HA36" i="73"/>
  <c r="HC31" i="73"/>
  <c r="GY31" i="73"/>
  <c r="GZ31" i="73"/>
  <c r="HC53" i="73"/>
  <c r="GY53" i="73"/>
  <c r="GZ53" i="73"/>
  <c r="FR56" i="73"/>
  <c r="DC18" i="73"/>
  <c r="GY73" i="73"/>
  <c r="HC73" i="73"/>
  <c r="GZ73" i="73"/>
  <c r="HB73" i="73" s="1"/>
  <c r="HX73" i="73" s="1"/>
  <c r="HC60" i="73"/>
  <c r="GY60" i="73"/>
  <c r="GZ60" i="73"/>
  <c r="HB60" i="73" s="1"/>
  <c r="HX60" i="73" s="1"/>
  <c r="HC43" i="73"/>
  <c r="GY43" i="73"/>
  <c r="GZ43" i="73"/>
  <c r="GY79" i="73"/>
  <c r="HC79" i="73"/>
  <c r="GZ79" i="73"/>
  <c r="HB79" i="73" s="1"/>
  <c r="HX79" i="73" s="1"/>
  <c r="GY86" i="73"/>
  <c r="HC86" i="73"/>
  <c r="GZ86" i="73"/>
  <c r="HB86" i="73" s="1"/>
  <c r="HX86" i="73" s="1"/>
  <c r="HD45" i="73"/>
  <c r="HA45" i="73"/>
  <c r="GY72" i="73"/>
  <c r="HC72" i="73"/>
  <c r="GZ72" i="73"/>
  <c r="HD70" i="73"/>
  <c r="HA70" i="73"/>
  <c r="GY78" i="73"/>
  <c r="HC78" i="73"/>
  <c r="GZ78" i="73"/>
  <c r="HD62" i="73"/>
  <c r="HA62" i="73"/>
  <c r="GY75" i="73"/>
  <c r="HC75" i="73"/>
  <c r="GZ75" i="73"/>
  <c r="HD63" i="73"/>
  <c r="HA63" i="73"/>
  <c r="FP56" i="73"/>
  <c r="CP10" i="73"/>
  <c r="CV19" i="73"/>
  <c r="DC19" i="73" s="1"/>
  <c r="CP11" i="73"/>
  <c r="CW11" i="73" s="1"/>
  <c r="CW10" i="73"/>
  <c r="CV18" i="73"/>
  <c r="GY81" i="73"/>
  <c r="HC81" i="73"/>
  <c r="GZ81" i="73"/>
  <c r="HB81" i="73" s="1"/>
  <c r="HX81" i="73" s="1"/>
  <c r="HC62" i="73"/>
  <c r="GY62" i="73"/>
  <c r="GZ62" i="73"/>
  <c r="HC61" i="73"/>
  <c r="GY61" i="73"/>
  <c r="GZ61" i="73"/>
  <c r="HB61" i="73" s="1"/>
  <c r="HX61" i="73" s="1"/>
  <c r="HD28" i="73"/>
  <c r="HA28" i="73"/>
  <c r="GY38" i="73"/>
  <c r="HC38" i="73"/>
  <c r="GZ38" i="73"/>
  <c r="HB38" i="73" s="1"/>
  <c r="HX38" i="73" s="1"/>
  <c r="HD33" i="73"/>
  <c r="HA33" i="73"/>
  <c r="GY35" i="73"/>
  <c r="HC35" i="73"/>
  <c r="GZ35" i="73"/>
  <c r="HC48" i="73"/>
  <c r="GY48" i="73"/>
  <c r="GZ48" i="73"/>
  <c r="HC32" i="73"/>
  <c r="GY32" i="73"/>
  <c r="GZ32" i="73"/>
  <c r="HB32" i="73" s="1"/>
  <c r="HX32" i="73" s="1"/>
  <c r="HD84" i="73"/>
  <c r="HA84" i="73"/>
  <c r="GY76" i="73"/>
  <c r="HC76" i="73"/>
  <c r="GZ76" i="73"/>
  <c r="HB76" i="73" s="1"/>
  <c r="HX76" i="73" s="1"/>
  <c r="HD78" i="73"/>
  <c r="HA78" i="73"/>
  <c r="HD30" i="73"/>
  <c r="HA30" i="73"/>
  <c r="HD27" i="73"/>
  <c r="HA27" i="73"/>
  <c r="HD43" i="73"/>
  <c r="HA43" i="73"/>
  <c r="GY33" i="73"/>
  <c r="HC33" i="73"/>
  <c r="GZ33" i="73"/>
  <c r="HC58" i="73"/>
  <c r="GY58" i="73"/>
  <c r="GZ58" i="73"/>
  <c r="FP27" i="73"/>
  <c r="HD52" i="73"/>
  <c r="HA52" i="73"/>
  <c r="GY67" i="73"/>
  <c r="HC67" i="73"/>
  <c r="GZ67" i="73"/>
  <c r="HB67" i="73" s="1"/>
  <c r="HX67" i="73" s="1"/>
  <c r="HD53" i="73"/>
  <c r="HA53" i="73"/>
  <c r="HD65" i="73"/>
  <c r="HA65" i="73"/>
  <c r="GY74" i="73"/>
  <c r="HC74" i="73"/>
  <c r="GZ74" i="73"/>
  <c r="HB74" i="73" s="1"/>
  <c r="HX74" i="73" s="1"/>
  <c r="FP54" i="73"/>
  <c r="BH47" i="73"/>
  <c r="BY49" i="73" s="1"/>
  <c r="CR49" i="73" s="1"/>
  <c r="BX48" i="73"/>
  <c r="HD31" i="73"/>
  <c r="HA31" i="73"/>
  <c r="HD37" i="73"/>
  <c r="HD74" i="73"/>
  <c r="HD61" i="73"/>
  <c r="GY50" i="73"/>
  <c r="HC50" i="73"/>
  <c r="GZ50" i="73"/>
  <c r="HB50" i="73" s="1"/>
  <c r="HX50" i="73" s="1"/>
  <c r="HC46" i="73"/>
  <c r="GY46" i="73"/>
  <c r="GZ46" i="73"/>
  <c r="HB46" i="73" s="1"/>
  <c r="HX46" i="73" s="1"/>
  <c r="HD34" i="73"/>
  <c r="HA34" i="73"/>
  <c r="GY64" i="73"/>
  <c r="HC64" i="73"/>
  <c r="GZ64" i="73"/>
  <c r="HB64" i="73" s="1"/>
  <c r="HX64" i="73" s="1"/>
  <c r="HD38" i="73"/>
  <c r="GY82" i="73"/>
  <c r="HC82" i="73"/>
  <c r="GZ82" i="73"/>
  <c r="HB82" i="73" s="1"/>
  <c r="HX82" i="73" s="1"/>
  <c r="GY69" i="73"/>
  <c r="HC69" i="73"/>
  <c r="GZ69" i="73"/>
  <c r="HB69" i="73" s="1"/>
  <c r="HX69" i="73" s="1"/>
  <c r="HC71" i="73"/>
  <c r="GY71" i="73"/>
  <c r="GZ71" i="73"/>
  <c r="HB71" i="73" s="1"/>
  <c r="HX71" i="73" s="1"/>
  <c r="HD60" i="73"/>
  <c r="HD72" i="73"/>
  <c r="HA72" i="73"/>
  <c r="GY42" i="73"/>
  <c r="HC42" i="73"/>
  <c r="GZ42" i="73"/>
  <c r="GY80" i="73"/>
  <c r="HC80" i="73"/>
  <c r="GZ80" i="73"/>
  <c r="HB80" i="73" s="1"/>
  <c r="HX80" i="73" s="1"/>
  <c r="HC29" i="73"/>
  <c r="GY29" i="73"/>
  <c r="GZ29" i="73"/>
  <c r="HB29" i="73" s="1"/>
  <c r="HX29" i="73" s="1"/>
  <c r="GY55" i="73"/>
  <c r="HC55" i="73"/>
  <c r="GZ55" i="73"/>
  <c r="HB55" i="73" s="1"/>
  <c r="HX55" i="73" s="1"/>
  <c r="GY27" i="73"/>
  <c r="HC27" i="73"/>
  <c r="GZ27" i="73"/>
  <c r="GY28" i="73"/>
  <c r="HC28" i="73"/>
  <c r="GZ28" i="73"/>
  <c r="HB28" i="73" s="1"/>
  <c r="HX28" i="73" s="1"/>
  <c r="FP50" i="73"/>
  <c r="CK38" i="73"/>
  <c r="FP30" i="73"/>
  <c r="GY44" i="73"/>
  <c r="HC44" i="73"/>
  <c r="GZ44" i="73"/>
  <c r="HB44" i="73" s="1"/>
  <c r="HX44" i="73" s="1"/>
  <c r="GY68" i="73"/>
  <c r="HC68" i="73"/>
  <c r="HG68" i="73" s="1"/>
  <c r="GZ68" i="73"/>
  <c r="HB68" i="73" s="1"/>
  <c r="HX68" i="73" s="1"/>
  <c r="GY63" i="73"/>
  <c r="HC63" i="73"/>
  <c r="GZ63" i="73"/>
  <c r="FR54" i="73"/>
  <c r="CR48" i="73"/>
  <c r="FR50" i="73"/>
  <c r="CP38" i="73"/>
  <c r="GY30" i="73"/>
  <c r="HC30" i="73"/>
  <c r="GZ30" i="73"/>
  <c r="GY83" i="73"/>
  <c r="HC83" i="73"/>
  <c r="GZ83" i="73"/>
  <c r="HB83" i="73" s="1"/>
  <c r="HX83" i="73" s="1"/>
  <c r="GY54" i="73"/>
  <c r="HC54" i="73"/>
  <c r="GZ54" i="73"/>
  <c r="HB54" i="73" s="1"/>
  <c r="HX54" i="73" s="1"/>
  <c r="GY45" i="73"/>
  <c r="HC45" i="73"/>
  <c r="GZ45" i="73"/>
  <c r="GG57" i="72"/>
  <c r="GK57" i="72"/>
  <c r="GG52" i="72"/>
  <c r="GK52" i="72"/>
  <c r="GG49" i="72"/>
  <c r="GK49" i="72"/>
  <c r="GG42" i="72"/>
  <c r="GK42" i="72"/>
  <c r="GG38" i="72"/>
  <c r="GK38" i="72"/>
  <c r="GG31" i="72"/>
  <c r="GK31" i="72"/>
  <c r="GG84" i="72"/>
  <c r="GK84" i="72"/>
  <c r="GR84" i="72" s="1"/>
  <c r="GG76" i="72"/>
  <c r="GK76" i="72"/>
  <c r="GG68" i="72"/>
  <c r="GK68" i="72"/>
  <c r="GG37" i="72"/>
  <c r="GK37" i="72"/>
  <c r="GR37" i="72" s="1"/>
  <c r="GG46" i="72"/>
  <c r="GK46" i="72"/>
  <c r="GR46" i="72" s="1"/>
  <c r="GG79" i="72"/>
  <c r="GK79" i="72"/>
  <c r="GR79" i="72" s="1"/>
  <c r="GG71" i="72"/>
  <c r="GK71" i="72"/>
  <c r="GG63" i="72"/>
  <c r="GK63" i="72"/>
  <c r="GG58" i="72"/>
  <c r="GK58" i="72"/>
  <c r="GR58" i="72" s="1"/>
  <c r="GG55" i="72"/>
  <c r="GK55" i="72"/>
  <c r="GR55" i="72" s="1"/>
  <c r="GG50" i="72"/>
  <c r="GK50" i="72"/>
  <c r="GR50" i="72" s="1"/>
  <c r="GG47" i="72"/>
  <c r="GK47" i="72"/>
  <c r="GG34" i="72"/>
  <c r="GK34" i="72"/>
  <c r="GR34" i="72" s="1"/>
  <c r="GG29" i="72"/>
  <c r="GK29" i="72"/>
  <c r="GG60" i="72"/>
  <c r="GK60" i="72"/>
  <c r="GG40" i="72"/>
  <c r="GK40" i="72"/>
  <c r="GG82" i="72"/>
  <c r="GK82" i="72"/>
  <c r="GG74" i="72"/>
  <c r="GK74" i="72"/>
  <c r="GR74" i="72" s="1"/>
  <c r="GG66" i="72"/>
  <c r="GK66" i="72"/>
  <c r="GR66" i="72" s="1"/>
  <c r="GG81" i="72"/>
  <c r="GK81" i="72"/>
  <c r="GG33" i="72"/>
  <c r="GK33" i="72"/>
  <c r="GR33" i="72" s="1"/>
  <c r="GG85" i="72"/>
  <c r="GK85" i="72"/>
  <c r="GR85" i="72" s="1"/>
  <c r="GG77" i="72"/>
  <c r="GK77" i="72"/>
  <c r="GG69" i="72"/>
  <c r="GK69" i="72"/>
  <c r="GD62" i="72"/>
  <c r="GG61" i="72"/>
  <c r="GK61" i="72"/>
  <c r="GG56" i="72"/>
  <c r="GK56" i="72"/>
  <c r="GG53" i="72"/>
  <c r="GK53" i="72"/>
  <c r="GG48" i="72"/>
  <c r="GK48" i="72"/>
  <c r="GG39" i="72"/>
  <c r="GK39" i="72"/>
  <c r="GD36" i="72"/>
  <c r="GG30" i="72"/>
  <c r="GK30" i="72"/>
  <c r="GG27" i="72"/>
  <c r="GK27" i="72"/>
  <c r="GR27" i="72" s="1"/>
  <c r="GG73" i="72"/>
  <c r="GK73" i="72"/>
  <c r="GR73" i="72" s="1"/>
  <c r="GG65" i="72"/>
  <c r="GK65" i="72"/>
  <c r="GG26" i="72"/>
  <c r="GK26" i="72"/>
  <c r="GR26" i="72" s="1"/>
  <c r="GG43" i="72"/>
  <c r="GK43" i="72"/>
  <c r="GR43" i="72" s="1"/>
  <c r="GD35" i="72"/>
  <c r="GG80" i="72"/>
  <c r="GK80" i="72"/>
  <c r="GR80" i="72" s="1"/>
  <c r="GP76" i="72"/>
  <c r="GG72" i="72"/>
  <c r="GK72" i="72"/>
  <c r="GR72" i="72" s="1"/>
  <c r="GG64" i="72"/>
  <c r="GK64" i="72"/>
  <c r="GG36" i="72"/>
  <c r="GK36" i="72"/>
  <c r="GD28" i="72"/>
  <c r="GD44" i="72"/>
  <c r="GG83" i="72"/>
  <c r="GK83" i="72"/>
  <c r="GR83" i="72" s="1"/>
  <c r="GD76" i="72"/>
  <c r="GG75" i="72"/>
  <c r="GK75" i="72"/>
  <c r="GR75" i="72" s="1"/>
  <c r="GG67" i="72"/>
  <c r="GK67" i="72"/>
  <c r="GG59" i="72"/>
  <c r="GK59" i="72"/>
  <c r="GG54" i="72"/>
  <c r="GK54" i="72"/>
  <c r="GG51" i="72"/>
  <c r="GK51" i="72"/>
  <c r="GR51" i="72" s="1"/>
  <c r="GD32" i="72"/>
  <c r="GG28" i="72"/>
  <c r="GK28" i="72"/>
  <c r="GG44" i="72"/>
  <c r="GK44" i="72"/>
  <c r="GR44" i="72" s="1"/>
  <c r="GG41" i="72"/>
  <c r="GK41" i="72"/>
  <c r="GG35" i="72"/>
  <c r="GK35" i="72"/>
  <c r="GG86" i="72"/>
  <c r="GK86" i="72"/>
  <c r="GG78" i="72"/>
  <c r="GK78" i="72"/>
  <c r="GG70" i="72"/>
  <c r="GK70" i="72"/>
  <c r="GG62" i="72"/>
  <c r="GK62" i="72"/>
  <c r="GG45" i="72"/>
  <c r="GK45" i="72"/>
  <c r="GR45" i="72" s="1"/>
  <c r="GG32" i="72"/>
  <c r="GK32" i="72"/>
  <c r="GR32" i="72" s="1"/>
  <c r="GP33" i="72"/>
  <c r="GD33" i="72"/>
  <c r="GP31" i="72"/>
  <c r="GD31" i="72"/>
  <c r="GP86" i="72"/>
  <c r="GP84" i="72"/>
  <c r="GP82" i="72"/>
  <c r="GD81" i="72"/>
  <c r="GP80" i="72"/>
  <c r="GD80" i="72"/>
  <c r="GP77" i="72"/>
  <c r="GD77" i="72"/>
  <c r="GP73" i="72"/>
  <c r="GD73" i="72"/>
  <c r="GP68" i="72"/>
  <c r="GP26" i="72"/>
  <c r="GP69" i="72"/>
  <c r="GD67" i="72"/>
  <c r="GP66" i="72"/>
  <c r="GD66" i="72"/>
  <c r="GP65" i="72"/>
  <c r="GD63" i="72"/>
  <c r="GP61" i="72"/>
  <c r="GP60" i="72"/>
  <c r="GP58" i="72"/>
  <c r="GP34" i="72"/>
  <c r="GP30" i="72"/>
  <c r="GD46" i="72"/>
  <c r="GD61" i="72"/>
  <c r="GD58" i="72"/>
  <c r="GP57" i="72"/>
  <c r="GD57" i="72"/>
  <c r="GP56" i="72"/>
  <c r="GP54" i="72"/>
  <c r="GD54" i="72"/>
  <c r="GP53" i="72"/>
  <c r="GD53" i="72"/>
  <c r="GP52" i="72"/>
  <c r="GP50" i="72"/>
  <c r="GD50" i="72"/>
  <c r="GP49" i="72"/>
  <c r="GD49" i="72"/>
  <c r="GP48" i="72"/>
  <c r="GD34" i="72"/>
  <c r="GD30" i="72"/>
  <c r="GP29" i="72"/>
  <c r="GD29" i="72"/>
  <c r="GP28" i="72"/>
  <c r="GD26" i="72"/>
  <c r="GP44" i="72"/>
  <c r="GP42" i="72"/>
  <c r="GD42" i="72"/>
  <c r="GP41" i="72"/>
  <c r="GD41" i="72"/>
  <c r="GP40" i="72"/>
  <c r="GP38" i="72"/>
  <c r="GD38" i="72"/>
  <c r="GD86" i="72"/>
  <c r="GP85" i="72"/>
  <c r="GD85" i="72"/>
  <c r="GD84" i="72"/>
  <c r="GP83" i="72"/>
  <c r="GD83" i="72"/>
  <c r="GD82" i="72"/>
  <c r="GP81" i="72"/>
  <c r="GP79" i="72"/>
  <c r="GD79" i="72"/>
  <c r="GD78" i="72"/>
  <c r="GP75" i="72"/>
  <c r="GD75" i="72"/>
  <c r="GD74" i="72"/>
  <c r="GP71" i="72"/>
  <c r="GD71" i="72"/>
  <c r="GD70" i="72"/>
  <c r="GD69" i="72"/>
  <c r="GD68" i="72"/>
  <c r="GP67" i="72"/>
  <c r="GD64" i="72"/>
  <c r="GP63" i="72"/>
  <c r="DI35" i="72"/>
  <c r="DS34" i="72" s="1"/>
  <c r="CG37" i="72"/>
  <c r="CL37" i="72" s="1"/>
  <c r="CV36" i="72" s="1"/>
  <c r="BP40" i="72" s="1"/>
  <c r="HH39" i="106" l="1"/>
  <c r="HO39" i="106" s="1"/>
  <c r="HJ39" i="106"/>
  <c r="HI39" i="106"/>
  <c r="HL39" i="106" s="1"/>
  <c r="HJ33" i="106"/>
  <c r="HH55" i="106"/>
  <c r="HO55" i="106" s="1"/>
  <c r="FP36" i="106"/>
  <c r="FP48" i="106"/>
  <c r="FP26" i="106" s="1"/>
  <c r="HJ72" i="106"/>
  <c r="HJ77" i="106"/>
  <c r="HJ30" i="106"/>
  <c r="HJ27" i="106"/>
  <c r="HJ68" i="106"/>
  <c r="HI55" i="106"/>
  <c r="HI79" i="106"/>
  <c r="HJ35" i="106"/>
  <c r="HJ55" i="106"/>
  <c r="HJ67" i="106"/>
  <c r="HJ43" i="106"/>
  <c r="HJ83" i="106"/>
  <c r="HJ86" i="106"/>
  <c r="HJ79" i="106"/>
  <c r="HH79" i="106"/>
  <c r="HO79" i="106" s="1"/>
  <c r="HP79" i="106" s="1"/>
  <c r="HJ74" i="106"/>
  <c r="HJ63" i="106"/>
  <c r="HJ81" i="106"/>
  <c r="HJ59" i="106"/>
  <c r="HM60" i="106"/>
  <c r="HJ69" i="106"/>
  <c r="HJ54" i="106"/>
  <c r="HJ58" i="106"/>
  <c r="HM70" i="106"/>
  <c r="HJ46" i="106"/>
  <c r="HJ75" i="106"/>
  <c r="HJ26" i="106"/>
  <c r="HJ34" i="106"/>
  <c r="HJ51" i="106"/>
  <c r="HJ65" i="106"/>
  <c r="HJ84" i="106"/>
  <c r="HJ32" i="106"/>
  <c r="HJ64" i="106"/>
  <c r="HJ52" i="106"/>
  <c r="HJ82" i="106"/>
  <c r="HJ53" i="106"/>
  <c r="HJ85" i="106"/>
  <c r="HJ42" i="106"/>
  <c r="HJ45" i="106"/>
  <c r="HJ44" i="106"/>
  <c r="HJ40" i="106"/>
  <c r="HI38" i="106"/>
  <c r="HH38" i="106"/>
  <c r="HO38" i="106" s="1"/>
  <c r="HH84" i="106"/>
  <c r="HO84" i="106" s="1"/>
  <c r="HI84" i="106"/>
  <c r="HP60" i="106"/>
  <c r="ET24" i="106"/>
  <c r="HH73" i="106"/>
  <c r="HO73" i="106" s="1"/>
  <c r="HI73" i="106"/>
  <c r="HH61" i="106"/>
  <c r="HO61" i="106" s="1"/>
  <c r="HI61" i="106"/>
  <c r="HI47" i="106"/>
  <c r="HH47" i="106"/>
  <c r="HO47" i="106" s="1"/>
  <c r="HI75" i="106"/>
  <c r="HH75" i="106"/>
  <c r="HO75" i="106" s="1"/>
  <c r="HK70" i="106"/>
  <c r="HL70" i="106"/>
  <c r="HH29" i="106"/>
  <c r="HO29" i="106" s="1"/>
  <c r="HI29" i="106"/>
  <c r="HI35" i="106"/>
  <c r="HH35" i="106"/>
  <c r="HO35" i="106" s="1"/>
  <c r="HJ66" i="106"/>
  <c r="HJ29" i="106"/>
  <c r="HP70" i="106"/>
  <c r="HH44" i="106"/>
  <c r="HO44" i="106" s="1"/>
  <c r="HI44" i="106"/>
  <c r="HI31" i="106"/>
  <c r="HH31" i="106"/>
  <c r="HO31" i="106" s="1"/>
  <c r="HI63" i="106"/>
  <c r="HH63" i="106"/>
  <c r="HO63" i="106" s="1"/>
  <c r="HI49" i="106"/>
  <c r="HH49" i="106"/>
  <c r="HO49" i="106" s="1"/>
  <c r="HI65" i="106"/>
  <c r="HH65" i="106"/>
  <c r="HO65" i="106" s="1"/>
  <c r="HI37" i="106"/>
  <c r="HH37" i="106"/>
  <c r="HO37" i="106" s="1"/>
  <c r="HH66" i="106"/>
  <c r="HO66" i="106" s="1"/>
  <c r="HI66" i="106"/>
  <c r="HI76" i="106"/>
  <c r="HH76" i="106"/>
  <c r="HO76" i="106" s="1"/>
  <c r="HI62" i="106"/>
  <c r="HH62" i="106"/>
  <c r="HO62" i="106" s="1"/>
  <c r="HH72" i="106"/>
  <c r="HO72" i="106" s="1"/>
  <c r="HI72" i="106"/>
  <c r="HM72" i="106" s="1"/>
  <c r="HH86" i="106"/>
  <c r="HO86" i="106" s="1"/>
  <c r="HI86" i="106"/>
  <c r="HI50" i="106"/>
  <c r="HH50" i="106"/>
  <c r="HO50" i="106" s="1"/>
  <c r="HI30" i="106"/>
  <c r="HH30" i="106"/>
  <c r="HO30" i="106" s="1"/>
  <c r="HI36" i="106"/>
  <c r="HH36" i="106"/>
  <c r="HO36" i="106" s="1"/>
  <c r="HI71" i="106"/>
  <c r="HH71" i="106"/>
  <c r="HO71" i="106" s="1"/>
  <c r="HJ31" i="106"/>
  <c r="HP39" i="106"/>
  <c r="HI28" i="106"/>
  <c r="HH28" i="106"/>
  <c r="HO28" i="106" s="1"/>
  <c r="HI27" i="106"/>
  <c r="HH27" i="106"/>
  <c r="HO27" i="106" s="1"/>
  <c r="EN24" i="106"/>
  <c r="HH26" i="106"/>
  <c r="HO26" i="106" s="1"/>
  <c r="HI26" i="106"/>
  <c r="HJ80" i="106"/>
  <c r="HI40" i="106"/>
  <c r="HH40" i="106"/>
  <c r="HO40" i="106" s="1"/>
  <c r="HJ50" i="106"/>
  <c r="HI59" i="106"/>
  <c r="HH59" i="106"/>
  <c r="HO59" i="106" s="1"/>
  <c r="FR43" i="106"/>
  <c r="CW13" i="106"/>
  <c r="HI80" i="106"/>
  <c r="HH80" i="106"/>
  <c r="HO80" i="106" s="1"/>
  <c r="HI41" i="106"/>
  <c r="HH41" i="106"/>
  <c r="HO41" i="106" s="1"/>
  <c r="HH83" i="106"/>
  <c r="HO83" i="106" s="1"/>
  <c r="HI83" i="106"/>
  <c r="HJ47" i="106"/>
  <c r="HJ62" i="106"/>
  <c r="HJ61" i="106"/>
  <c r="HI51" i="106"/>
  <c r="HH51" i="106"/>
  <c r="HO51" i="106" s="1"/>
  <c r="HH58" i="106"/>
  <c r="HO58" i="106" s="1"/>
  <c r="HI58" i="106"/>
  <c r="HI68" i="106"/>
  <c r="HH68" i="106"/>
  <c r="HO68" i="106" s="1"/>
  <c r="HH69" i="106"/>
  <c r="HO69" i="106" s="1"/>
  <c r="HI69" i="106"/>
  <c r="HJ38" i="106"/>
  <c r="HI46" i="106"/>
  <c r="HH46" i="106"/>
  <c r="HO46" i="106" s="1"/>
  <c r="HP55" i="106"/>
  <c r="HJ76" i="106"/>
  <c r="HJ49" i="106"/>
  <c r="HJ73" i="106"/>
  <c r="HI34" i="106"/>
  <c r="HH34" i="106"/>
  <c r="HO34" i="106" s="1"/>
  <c r="HJ56" i="106"/>
  <c r="HI33" i="106"/>
  <c r="HH33" i="106"/>
  <c r="HO33" i="106" s="1"/>
  <c r="HH45" i="106"/>
  <c r="HO45" i="106" s="1"/>
  <c r="HI45" i="106"/>
  <c r="HK55" i="106"/>
  <c r="HJ28" i="106"/>
  <c r="HH32" i="106"/>
  <c r="HO32" i="106" s="1"/>
  <c r="HI32" i="106"/>
  <c r="HI48" i="106"/>
  <c r="HH48" i="106"/>
  <c r="HO48" i="106" s="1"/>
  <c r="HH56" i="106"/>
  <c r="HO56" i="106" s="1"/>
  <c r="HI56" i="106"/>
  <c r="HH81" i="106"/>
  <c r="HO81" i="106" s="1"/>
  <c r="HI81" i="106"/>
  <c r="HH78" i="106"/>
  <c r="HO78" i="106" s="1"/>
  <c r="HI78" i="106"/>
  <c r="HI43" i="106"/>
  <c r="HH43" i="106"/>
  <c r="HO43" i="106" s="1"/>
  <c r="HH85" i="106"/>
  <c r="HO85" i="106" s="1"/>
  <c r="HI85" i="106"/>
  <c r="HI54" i="106"/>
  <c r="HH54" i="106"/>
  <c r="HO54" i="106" s="1"/>
  <c r="HI64" i="106"/>
  <c r="HH64" i="106"/>
  <c r="HO64" i="106" s="1"/>
  <c r="HH67" i="106"/>
  <c r="HO67" i="106" s="1"/>
  <c r="HI67" i="106"/>
  <c r="HH53" i="106"/>
  <c r="HO53" i="106" s="1"/>
  <c r="HI53" i="106"/>
  <c r="HJ71" i="106"/>
  <c r="HJ36" i="106"/>
  <c r="HJ78" i="106"/>
  <c r="HI52" i="106"/>
  <c r="HH52" i="106"/>
  <c r="HO52" i="106" s="1"/>
  <c r="HI77" i="106"/>
  <c r="HH77" i="106"/>
  <c r="HO77" i="106" s="1"/>
  <c r="HI74" i="106"/>
  <c r="HH74" i="106"/>
  <c r="HO74" i="106" s="1"/>
  <c r="HH82" i="106"/>
  <c r="HO82" i="106" s="1"/>
  <c r="HI82" i="106"/>
  <c r="HI57" i="106"/>
  <c r="HM57" i="106" s="1"/>
  <c r="HH57" i="106"/>
  <c r="HO57" i="106" s="1"/>
  <c r="HK60" i="106"/>
  <c r="HL60" i="106"/>
  <c r="FP43" i="106"/>
  <c r="FC4" i="106"/>
  <c r="FC16" i="106" s="1"/>
  <c r="CP13" i="106"/>
  <c r="HJ41" i="106"/>
  <c r="HH42" i="106"/>
  <c r="HO42" i="106" s="1"/>
  <c r="HI42" i="106"/>
  <c r="HJ37" i="106"/>
  <c r="CU24" i="72"/>
  <c r="BC42" i="72"/>
  <c r="FP55" i="72" s="1"/>
  <c r="CU25" i="72"/>
  <c r="DA25" i="72" s="1"/>
  <c r="FW72" i="72"/>
  <c r="GU72" i="72" s="1"/>
  <c r="FZ34" i="72"/>
  <c r="GI34" i="72" s="1"/>
  <c r="FY35" i="72"/>
  <c r="CS30" i="72"/>
  <c r="FV61" i="72"/>
  <c r="FV68" i="72"/>
  <c r="FV35" i="72"/>
  <c r="FV56" i="72"/>
  <c r="FV44" i="72"/>
  <c r="FV50" i="72"/>
  <c r="FZ60" i="72"/>
  <c r="GI60" i="72" s="1"/>
  <c r="FV76" i="72"/>
  <c r="CN31" i="72"/>
  <c r="FZ78" i="72"/>
  <c r="GI78" i="72" s="1"/>
  <c r="FW76" i="72"/>
  <c r="FV63" i="72"/>
  <c r="FZ49" i="72"/>
  <c r="GI49" i="72" s="1"/>
  <c r="FW32" i="72"/>
  <c r="GU32" i="72" s="1"/>
  <c r="FY60" i="72"/>
  <c r="FY36" i="72"/>
  <c r="FY79" i="72"/>
  <c r="FZ80" i="72"/>
  <c r="GI80" i="72" s="1"/>
  <c r="FV69" i="72"/>
  <c r="FV81" i="72"/>
  <c r="FW56" i="72"/>
  <c r="FY31" i="72"/>
  <c r="FZ36" i="72"/>
  <c r="GI36" i="72" s="1"/>
  <c r="FV71" i="72"/>
  <c r="FY30" i="72"/>
  <c r="GH30" i="72" s="1"/>
  <c r="FZ27" i="72"/>
  <c r="GI27" i="72" s="1"/>
  <c r="FW43" i="72"/>
  <c r="GU43" i="72" s="1"/>
  <c r="FV48" i="72"/>
  <c r="FV73" i="72"/>
  <c r="FZ63" i="72"/>
  <c r="GI63" i="72" s="1"/>
  <c r="FY77" i="72"/>
  <c r="FV67" i="72"/>
  <c r="FY26" i="72"/>
  <c r="GH26" i="72" s="1"/>
  <c r="FY80" i="72"/>
  <c r="FZ84" i="72"/>
  <c r="GI84" i="72" s="1"/>
  <c r="FY69" i="72"/>
  <c r="FV40" i="72"/>
  <c r="FY58" i="72"/>
  <c r="FV28" i="72"/>
  <c r="FY84" i="72"/>
  <c r="FW27" i="72"/>
  <c r="GU27" i="72" s="1"/>
  <c r="FY67" i="72"/>
  <c r="FZ32" i="72"/>
  <c r="GI32" i="72" s="1"/>
  <c r="FY42" i="72"/>
  <c r="FY46" i="72"/>
  <c r="GH46" i="72" s="1"/>
  <c r="FY54" i="72"/>
  <c r="FY29" i="72"/>
  <c r="FW31" i="72"/>
  <c r="FW51" i="72"/>
  <c r="GU51" i="72" s="1"/>
  <c r="FW58" i="72"/>
  <c r="GU58" i="72" s="1"/>
  <c r="FZ77" i="72"/>
  <c r="GI77" i="72" s="1"/>
  <c r="FW39" i="72"/>
  <c r="FZ57" i="72"/>
  <c r="GI57" i="72" s="1"/>
  <c r="FZ35" i="72"/>
  <c r="GI35" i="72" s="1"/>
  <c r="FV32" i="72"/>
  <c r="FZ69" i="72"/>
  <c r="GI69" i="72" s="1"/>
  <c r="FV51" i="72"/>
  <c r="FX51" i="72" s="1"/>
  <c r="FY27" i="72"/>
  <c r="FY63" i="72"/>
  <c r="GH63" i="72" s="1"/>
  <c r="FY62" i="72"/>
  <c r="GH62" i="72" s="1"/>
  <c r="FW79" i="72"/>
  <c r="GU79" i="72" s="1"/>
  <c r="FV82" i="72"/>
  <c r="FZ26" i="72"/>
  <c r="GI26" i="72" s="1"/>
  <c r="FY49" i="72"/>
  <c r="FW47" i="72"/>
  <c r="FZ66" i="72"/>
  <c r="GI66" i="72" s="1"/>
  <c r="FZ81" i="72"/>
  <c r="GI81" i="72" s="1"/>
  <c r="FZ79" i="72"/>
  <c r="GI79" i="72" s="1"/>
  <c r="FZ55" i="72"/>
  <c r="GI55" i="72" s="1"/>
  <c r="FY64" i="72"/>
  <c r="GH64" i="72" s="1"/>
  <c r="FZ44" i="72"/>
  <c r="GI44" i="72" s="1"/>
  <c r="FW83" i="72"/>
  <c r="FX83" i="72" s="1"/>
  <c r="FW49" i="72"/>
  <c r="FY32" i="72"/>
  <c r="GH32" i="72" s="1"/>
  <c r="FV33" i="72"/>
  <c r="FZ37" i="72"/>
  <c r="GI37" i="72" s="1"/>
  <c r="FY59" i="72"/>
  <c r="FW37" i="72"/>
  <c r="GU37" i="72" s="1"/>
  <c r="FV77" i="72"/>
  <c r="FY65" i="72"/>
  <c r="GA65" i="72" s="1"/>
  <c r="FZ38" i="72"/>
  <c r="GI38" i="72" s="1"/>
  <c r="FV52" i="72"/>
  <c r="FY83" i="72"/>
  <c r="GH83" i="72" s="1"/>
  <c r="FW63" i="72"/>
  <c r="FW35" i="72"/>
  <c r="FZ40" i="72"/>
  <c r="GI40" i="72" s="1"/>
  <c r="FZ53" i="72"/>
  <c r="GI53" i="72" s="1"/>
  <c r="FW84" i="72"/>
  <c r="GU84" i="72" s="1"/>
  <c r="FV43" i="72"/>
  <c r="FV85" i="72"/>
  <c r="FW59" i="72"/>
  <c r="FV37" i="72"/>
  <c r="FW33" i="72"/>
  <c r="FW69" i="72"/>
  <c r="FV45" i="72"/>
  <c r="FZ46" i="72"/>
  <c r="GI46" i="72" s="1"/>
  <c r="FV29" i="72"/>
  <c r="FW28" i="72"/>
  <c r="FZ43" i="72"/>
  <c r="GI43" i="72" s="1"/>
  <c r="FY74" i="72"/>
  <c r="GH74" i="72" s="1"/>
  <c r="GJ74" i="72" s="1"/>
  <c r="FW86" i="72"/>
  <c r="FW80" i="72"/>
  <c r="FZ41" i="72"/>
  <c r="GI41" i="72" s="1"/>
  <c r="FV38" i="72"/>
  <c r="FV78" i="72"/>
  <c r="FZ67" i="72"/>
  <c r="GI67" i="72" s="1"/>
  <c r="FY56" i="72"/>
  <c r="FW42" i="72"/>
  <c r="FY41" i="72"/>
  <c r="FZ56" i="72"/>
  <c r="GI56" i="72" s="1"/>
  <c r="FV83" i="72"/>
  <c r="FV58" i="72"/>
  <c r="FV27" i="72"/>
  <c r="FX27" i="72" s="1"/>
  <c r="FY73" i="72"/>
  <c r="FZ61" i="72"/>
  <c r="GI61" i="72" s="1"/>
  <c r="FZ71" i="72"/>
  <c r="GI71" i="72" s="1"/>
  <c r="FV60" i="72"/>
  <c r="FZ52" i="72"/>
  <c r="GI52" i="72" s="1"/>
  <c r="FV53" i="72"/>
  <c r="FZ70" i="72"/>
  <c r="GI70" i="72" s="1"/>
  <c r="FV34" i="72"/>
  <c r="FW38" i="72"/>
  <c r="FY85" i="72"/>
  <c r="FZ65" i="72"/>
  <c r="GI65" i="72" s="1"/>
  <c r="FW34" i="72"/>
  <c r="FY43" i="72"/>
  <c r="GH43" i="72" s="1"/>
  <c r="FZ59" i="72"/>
  <c r="GI59" i="72" s="1"/>
  <c r="FW45" i="72"/>
  <c r="FY45" i="72"/>
  <c r="FV46" i="72"/>
  <c r="FY57" i="72"/>
  <c r="GH57" i="72" s="1"/>
  <c r="FY75" i="72"/>
  <c r="FV55" i="72"/>
  <c r="FY47" i="72"/>
  <c r="GH47" i="72" s="1"/>
  <c r="FV65" i="72"/>
  <c r="FZ42" i="72"/>
  <c r="GI42" i="72" s="1"/>
  <c r="FV47" i="72"/>
  <c r="FX47" i="72" s="1"/>
  <c r="FW65" i="72"/>
  <c r="FW66" i="72"/>
  <c r="GU66" i="72" s="1"/>
  <c r="FY38" i="72"/>
  <c r="FZ50" i="72"/>
  <c r="GI50" i="72" s="1"/>
  <c r="FY68" i="72"/>
  <c r="GH68" i="72" s="1"/>
  <c r="FY78" i="72"/>
  <c r="FV36" i="72"/>
  <c r="FW44" i="72"/>
  <c r="GU44" i="72" s="1"/>
  <c r="FV86" i="72"/>
  <c r="FY81" i="72"/>
  <c r="GH81" i="72" s="1"/>
  <c r="GJ81" i="72" s="1"/>
  <c r="FY48" i="72"/>
  <c r="GH48" i="72" s="1"/>
  <c r="FZ29" i="72"/>
  <c r="GI29" i="72" s="1"/>
  <c r="FZ68" i="72"/>
  <c r="GI68" i="72" s="1"/>
  <c r="FW30" i="72"/>
  <c r="FV30" i="72"/>
  <c r="FZ47" i="72"/>
  <c r="GI47" i="72" s="1"/>
  <c r="FW73" i="72"/>
  <c r="GU73" i="72" s="1"/>
  <c r="FV39" i="72"/>
  <c r="FW61" i="72"/>
  <c r="FV84" i="72"/>
  <c r="FW77" i="72"/>
  <c r="FZ51" i="72"/>
  <c r="GI51" i="72" s="1"/>
  <c r="FW50" i="72"/>
  <c r="GU50" i="72" s="1"/>
  <c r="FY51" i="72"/>
  <c r="FV31" i="72"/>
  <c r="FV80" i="72"/>
  <c r="FZ83" i="72"/>
  <c r="GI83" i="72" s="1"/>
  <c r="FZ82" i="72"/>
  <c r="GI82" i="72" s="1"/>
  <c r="FZ30" i="72"/>
  <c r="GI30" i="72" s="1"/>
  <c r="FW41" i="72"/>
  <c r="FV64" i="72"/>
  <c r="FW70" i="72"/>
  <c r="FY66" i="72"/>
  <c r="FZ73" i="72"/>
  <c r="GI73" i="72" s="1"/>
  <c r="FW46" i="72"/>
  <c r="GU46" i="72" s="1"/>
  <c r="FW55" i="72"/>
  <c r="GU55" i="72" s="1"/>
  <c r="FW68" i="72"/>
  <c r="FZ31" i="72"/>
  <c r="GI31" i="72" s="1"/>
  <c r="FZ86" i="72"/>
  <c r="GI86" i="72" s="1"/>
  <c r="FY34" i="72"/>
  <c r="FW75" i="72"/>
  <c r="FZ64" i="72"/>
  <c r="GI64" i="72" s="1"/>
  <c r="FV57" i="72"/>
  <c r="FW64" i="72"/>
  <c r="FW67" i="72"/>
  <c r="FV75" i="72"/>
  <c r="FV26" i="72"/>
  <c r="FW53" i="72"/>
  <c r="FZ62" i="72"/>
  <c r="GI62" i="72" s="1"/>
  <c r="FZ75" i="72"/>
  <c r="GI75" i="72" s="1"/>
  <c r="CP32" i="72"/>
  <c r="FZ33" i="72"/>
  <c r="GI33" i="72" s="1"/>
  <c r="FY52" i="72"/>
  <c r="FW48" i="72"/>
  <c r="FY72" i="72"/>
  <c r="GH72" i="72" s="1"/>
  <c r="FW54" i="72"/>
  <c r="FW57" i="72"/>
  <c r="FZ58" i="72"/>
  <c r="GI58" i="72" s="1"/>
  <c r="FW62" i="72"/>
  <c r="FW78" i="72"/>
  <c r="FW40" i="72"/>
  <c r="FV74" i="72"/>
  <c r="FZ39" i="72"/>
  <c r="GI39" i="72" s="1"/>
  <c r="FV79" i="72"/>
  <c r="FW29" i="72"/>
  <c r="FY61" i="72"/>
  <c r="CN30" i="72"/>
  <c r="FV66" i="72"/>
  <c r="FY33" i="72"/>
  <c r="FZ85" i="72"/>
  <c r="GI85" i="72" s="1"/>
  <c r="FZ48" i="72"/>
  <c r="GI48" i="72" s="1"/>
  <c r="FW71" i="72"/>
  <c r="FY53" i="72"/>
  <c r="GH53" i="72" s="1"/>
  <c r="FV72" i="72"/>
  <c r="FY39" i="72"/>
  <c r="GH39" i="72" s="1"/>
  <c r="FV49" i="72"/>
  <c r="FY55" i="72"/>
  <c r="FZ74" i="72"/>
  <c r="GI74" i="72" s="1"/>
  <c r="FW82" i="72"/>
  <c r="FY44" i="72"/>
  <c r="FV62" i="72"/>
  <c r="FV70" i="72"/>
  <c r="FW85" i="72"/>
  <c r="FY86" i="72"/>
  <c r="FW36" i="72"/>
  <c r="FZ76" i="72"/>
  <c r="GI76" i="72" s="1"/>
  <c r="FW26" i="72"/>
  <c r="GU26" i="72" s="1"/>
  <c r="FZ28" i="72"/>
  <c r="GI28" i="72" s="1"/>
  <c r="FW74" i="72"/>
  <c r="GU74" i="72" s="1"/>
  <c r="FY50" i="72"/>
  <c r="GH50" i="72" s="1"/>
  <c r="FY70" i="72"/>
  <c r="FZ72" i="72"/>
  <c r="GI72" i="72" s="1"/>
  <c r="FY28" i="72"/>
  <c r="FW60" i="72"/>
  <c r="FV54" i="72"/>
  <c r="FV42" i="72"/>
  <c r="FZ54" i="72"/>
  <c r="GI54" i="72" s="1"/>
  <c r="FY82" i="72"/>
  <c r="GH82" i="72" s="1"/>
  <c r="FV41" i="72"/>
  <c r="FY71" i="72"/>
  <c r="FY40" i="72"/>
  <c r="GH40" i="72" s="1"/>
  <c r="FZ45" i="72"/>
  <c r="GI45" i="72" s="1"/>
  <c r="FY76" i="72"/>
  <c r="FV59" i="72"/>
  <c r="FW81" i="72"/>
  <c r="FW52" i="72"/>
  <c r="FX52" i="72" s="1"/>
  <c r="FY37" i="72"/>
  <c r="GA37" i="72" s="1"/>
  <c r="GH37" i="72"/>
  <c r="HG80" i="73"/>
  <c r="HG41" i="73"/>
  <c r="HG79" i="73"/>
  <c r="HG47" i="73"/>
  <c r="HG81" i="73"/>
  <c r="HB30" i="73"/>
  <c r="HX30" i="73" s="1"/>
  <c r="HG56" i="73"/>
  <c r="HG54" i="73"/>
  <c r="HG74" i="73"/>
  <c r="HG82" i="73"/>
  <c r="HG67" i="73"/>
  <c r="HG39" i="73"/>
  <c r="HG64" i="73"/>
  <c r="HG50" i="73"/>
  <c r="HB63" i="73"/>
  <c r="HX63" i="73" s="1"/>
  <c r="HG78" i="73"/>
  <c r="HG31" i="73"/>
  <c r="HG76" i="73"/>
  <c r="HG48" i="73"/>
  <c r="HG86" i="73"/>
  <c r="HG46" i="73"/>
  <c r="HG73" i="73"/>
  <c r="HB35" i="73"/>
  <c r="HX35" i="73" s="1"/>
  <c r="HG63" i="73"/>
  <c r="HG77" i="73"/>
  <c r="HB45" i="73"/>
  <c r="HX45" i="73" s="1"/>
  <c r="HG37" i="73"/>
  <c r="DM10" i="73"/>
  <c r="HG70" i="73"/>
  <c r="HG65" i="73"/>
  <c r="HG69" i="73"/>
  <c r="HB58" i="73"/>
  <c r="HX58" i="73" s="1"/>
  <c r="HG84" i="73"/>
  <c r="HB66" i="73"/>
  <c r="HX66" i="73" s="1"/>
  <c r="HG85" i="73"/>
  <c r="HB26" i="73"/>
  <c r="HB75" i="73"/>
  <c r="HX75" i="73" s="1"/>
  <c r="HG36" i="73"/>
  <c r="HB48" i="73"/>
  <c r="HX48" i="73" s="1"/>
  <c r="HG75" i="73"/>
  <c r="HG40" i="73"/>
  <c r="HB52" i="73"/>
  <c r="HX52" i="73" s="1"/>
  <c r="HG58" i="73"/>
  <c r="HG49" i="73"/>
  <c r="HG51" i="73"/>
  <c r="HG33" i="73"/>
  <c r="HB42" i="73"/>
  <c r="HX42" i="73" s="1"/>
  <c r="HG52" i="73"/>
  <c r="HB41" i="73"/>
  <c r="HX41" i="73" s="1"/>
  <c r="HG53" i="73"/>
  <c r="HG83" i="73"/>
  <c r="HB27" i="73"/>
  <c r="HX27" i="73" s="1"/>
  <c r="HG72" i="73"/>
  <c r="HG34" i="73"/>
  <c r="GH54" i="72"/>
  <c r="GH29" i="72"/>
  <c r="GA53" i="72"/>
  <c r="GH42" i="72"/>
  <c r="GJ42" i="72" s="1"/>
  <c r="GA41" i="72"/>
  <c r="FX41" i="72"/>
  <c r="GA68" i="72"/>
  <c r="HF29" i="73"/>
  <c r="HE29" i="73"/>
  <c r="HF48" i="73"/>
  <c r="HE48" i="73"/>
  <c r="HE72" i="73"/>
  <c r="HF72" i="73"/>
  <c r="HG60" i="73"/>
  <c r="FP32" i="73"/>
  <c r="HG27" i="73"/>
  <c r="HF62" i="73"/>
  <c r="HE62" i="73"/>
  <c r="DF10" i="73"/>
  <c r="HG62" i="73"/>
  <c r="HF53" i="73"/>
  <c r="HE53" i="73"/>
  <c r="HB77" i="73"/>
  <c r="HX77" i="73" s="1"/>
  <c r="HF44" i="73"/>
  <c r="HE44" i="73"/>
  <c r="HF60" i="73"/>
  <c r="HE60" i="73"/>
  <c r="HF27" i="73"/>
  <c r="HE27" i="73"/>
  <c r="HF45" i="73"/>
  <c r="HE45" i="73"/>
  <c r="HF63" i="73"/>
  <c r="HE63" i="73"/>
  <c r="HF80" i="73"/>
  <c r="HE80" i="73"/>
  <c r="HG61" i="73"/>
  <c r="HF67" i="73"/>
  <c r="HE67" i="73"/>
  <c r="HF58" i="73"/>
  <c r="HE58" i="73"/>
  <c r="HF35" i="73"/>
  <c r="HE35" i="73"/>
  <c r="HG28" i="73"/>
  <c r="FP34" i="73"/>
  <c r="HB78" i="73"/>
  <c r="HX78" i="73" s="1"/>
  <c r="HE73" i="73"/>
  <c r="HF73" i="73"/>
  <c r="HB31" i="73"/>
  <c r="HX31" i="73" s="1"/>
  <c r="HF47" i="73"/>
  <c r="HE47" i="73"/>
  <c r="HF77" i="73"/>
  <c r="HE77" i="73"/>
  <c r="HE41" i="73"/>
  <c r="HF41" i="73"/>
  <c r="HB84" i="73"/>
  <c r="HX84" i="73" s="1"/>
  <c r="HF52" i="73"/>
  <c r="HE52" i="73"/>
  <c r="HF56" i="73"/>
  <c r="HE56" i="73"/>
  <c r="HF39" i="73"/>
  <c r="HE39" i="73"/>
  <c r="HF83" i="73"/>
  <c r="HE83" i="73"/>
  <c r="HF79" i="73"/>
  <c r="HE79" i="73"/>
  <c r="HF57" i="73"/>
  <c r="HE57" i="73"/>
  <c r="HF82" i="73"/>
  <c r="HE82" i="73"/>
  <c r="HF30" i="73"/>
  <c r="HE30" i="73"/>
  <c r="AZ56" i="73"/>
  <c r="BC57" i="73"/>
  <c r="BV57" i="73" s="1"/>
  <c r="FP53" i="73"/>
  <c r="HG38" i="73"/>
  <c r="HF46" i="73"/>
  <c r="HE46" i="73"/>
  <c r="HF74" i="73"/>
  <c r="HE74" i="73"/>
  <c r="HB33" i="73"/>
  <c r="HX33" i="73" s="1"/>
  <c r="HG30" i="73"/>
  <c r="HF81" i="73"/>
  <c r="HE81" i="73"/>
  <c r="HF78" i="73"/>
  <c r="HE78" i="73"/>
  <c r="HG45" i="73"/>
  <c r="HB43" i="73"/>
  <c r="HX43" i="73" s="1"/>
  <c r="HG35" i="73"/>
  <c r="HF51" i="73"/>
  <c r="HE51" i="73"/>
  <c r="HB34" i="73"/>
  <c r="HX34" i="73" s="1"/>
  <c r="HF37" i="73"/>
  <c r="HE37" i="73"/>
  <c r="HF84" i="73"/>
  <c r="HE84" i="73"/>
  <c r="HG57" i="73"/>
  <c r="HG44" i="73"/>
  <c r="FP28" i="73"/>
  <c r="HF55" i="73"/>
  <c r="HE55" i="73"/>
  <c r="HF71" i="73"/>
  <c r="HE71" i="73"/>
  <c r="HF33" i="73"/>
  <c r="HE33" i="73"/>
  <c r="HF31" i="73"/>
  <c r="HE31" i="73"/>
  <c r="HB65" i="73"/>
  <c r="HX65" i="73" s="1"/>
  <c r="HB40" i="73"/>
  <c r="HX40" i="73" s="1"/>
  <c r="HG26" i="73"/>
  <c r="HG66" i="73"/>
  <c r="HB70" i="73"/>
  <c r="HX70" i="73" s="1"/>
  <c r="HG55" i="73"/>
  <c r="BT56" i="73"/>
  <c r="FR53" i="73"/>
  <c r="HF68" i="73"/>
  <c r="HJ68" i="73" s="1"/>
  <c r="HE68" i="73"/>
  <c r="HF42" i="73"/>
  <c r="HE42" i="73"/>
  <c r="HF64" i="73"/>
  <c r="HE64" i="73"/>
  <c r="HF32" i="73"/>
  <c r="HE32" i="73"/>
  <c r="HF61" i="73"/>
  <c r="HE61" i="73"/>
  <c r="DL18" i="73"/>
  <c r="HF86" i="73"/>
  <c r="HE86" i="73"/>
  <c r="HF43" i="73"/>
  <c r="HE43" i="73"/>
  <c r="DR18" i="73"/>
  <c r="HF65" i="73"/>
  <c r="HE65" i="73"/>
  <c r="HF85" i="73"/>
  <c r="HE85" i="73"/>
  <c r="HF66" i="73"/>
  <c r="HE66" i="73"/>
  <c r="HF34" i="73"/>
  <c r="HE34" i="73"/>
  <c r="HF40" i="73"/>
  <c r="HE40" i="73"/>
  <c r="HG29" i="73"/>
  <c r="HE50" i="73"/>
  <c r="HF50" i="73"/>
  <c r="HF75" i="73"/>
  <c r="HE75" i="73"/>
  <c r="HB36" i="73"/>
  <c r="HX36" i="73" s="1"/>
  <c r="HG42" i="73"/>
  <c r="HF70" i="73"/>
  <c r="HE70" i="73"/>
  <c r="HE54" i="73"/>
  <c r="HF54" i="73"/>
  <c r="HF28" i="73"/>
  <c r="HE28" i="73"/>
  <c r="HF69" i="73"/>
  <c r="HE69" i="73"/>
  <c r="BM48" i="73"/>
  <c r="BH48" i="73"/>
  <c r="HG43" i="73"/>
  <c r="HF76" i="73"/>
  <c r="HE76" i="73"/>
  <c r="HF38" i="73"/>
  <c r="HE38" i="73"/>
  <c r="HB62" i="73"/>
  <c r="HX62" i="73" s="1"/>
  <c r="HB72" i="73"/>
  <c r="HX72" i="73" s="1"/>
  <c r="HB53" i="73"/>
  <c r="HX53" i="73" s="1"/>
  <c r="HF49" i="73"/>
  <c r="HE49" i="73"/>
  <c r="HF36" i="73"/>
  <c r="HE36" i="73"/>
  <c r="HE26" i="73"/>
  <c r="HF26" i="73"/>
  <c r="HF59" i="73"/>
  <c r="HJ59" i="73" s="1"/>
  <c r="HE59" i="73"/>
  <c r="HG32" i="73"/>
  <c r="HG71" i="73"/>
  <c r="GH71" i="72"/>
  <c r="GJ71" i="72" s="1"/>
  <c r="GM31" i="72"/>
  <c r="GQ31" i="72"/>
  <c r="GQ49" i="72"/>
  <c r="GT49" i="72" s="1"/>
  <c r="GM49" i="72"/>
  <c r="GM35" i="72"/>
  <c r="GQ35" i="72"/>
  <c r="GR35" i="72"/>
  <c r="GU35" i="72" s="1"/>
  <c r="GM40" i="72"/>
  <c r="GQ40" i="72"/>
  <c r="GA40" i="72"/>
  <c r="GQ36" i="72"/>
  <c r="GM36" i="72"/>
  <c r="GR36" i="72"/>
  <c r="GU36" i="72" s="1"/>
  <c r="GQ73" i="72"/>
  <c r="GM73" i="72"/>
  <c r="GM48" i="72"/>
  <c r="GQ48" i="72"/>
  <c r="GU33" i="72"/>
  <c r="GQ60" i="72"/>
  <c r="GM60" i="72"/>
  <c r="GR60" i="72"/>
  <c r="GU60" i="72" s="1"/>
  <c r="GQ50" i="72"/>
  <c r="GM50" i="72"/>
  <c r="GQ71" i="72"/>
  <c r="GM71" i="72"/>
  <c r="GQ68" i="72"/>
  <c r="GM68" i="72"/>
  <c r="GQ38" i="72"/>
  <c r="GM38" i="72"/>
  <c r="GQ52" i="72"/>
  <c r="GM52" i="72"/>
  <c r="GR52" i="72"/>
  <c r="GU52" i="72" s="1"/>
  <c r="GR71" i="72"/>
  <c r="GM67" i="72"/>
  <c r="GQ67" i="72"/>
  <c r="GR67" i="72"/>
  <c r="GU67" i="72" s="1"/>
  <c r="GM82" i="72"/>
  <c r="GQ82" i="72"/>
  <c r="GT82" i="72" s="1"/>
  <c r="GM63" i="72"/>
  <c r="GQ63" i="72"/>
  <c r="GR63" i="72"/>
  <c r="GU63" i="72" s="1"/>
  <c r="GQ37" i="72"/>
  <c r="GS37" i="72" s="1"/>
  <c r="GM37" i="72"/>
  <c r="GM51" i="72"/>
  <c r="GQ51" i="72"/>
  <c r="GS51" i="72" s="1"/>
  <c r="GQ70" i="72"/>
  <c r="GM70" i="72"/>
  <c r="GQ41" i="72"/>
  <c r="GT41" i="72" s="1"/>
  <c r="GM41" i="72"/>
  <c r="GQ54" i="72"/>
  <c r="GM54" i="72"/>
  <c r="GR54" i="72"/>
  <c r="GM27" i="72"/>
  <c r="GQ27" i="72"/>
  <c r="GS27" i="72" s="1"/>
  <c r="GQ69" i="72"/>
  <c r="GM69" i="72"/>
  <c r="GR69" i="72"/>
  <c r="GU69" i="72" s="1"/>
  <c r="GQ66" i="72"/>
  <c r="GM66" i="72"/>
  <c r="GR70" i="72"/>
  <c r="GR40" i="72"/>
  <c r="GU40" i="72" s="1"/>
  <c r="GR82" i="72"/>
  <c r="GQ61" i="72"/>
  <c r="GM61" i="72"/>
  <c r="GR61" i="72"/>
  <c r="GU61" i="72" s="1"/>
  <c r="GQ62" i="72"/>
  <c r="GM62" i="72"/>
  <c r="GA74" i="72"/>
  <c r="GH41" i="72"/>
  <c r="GJ41" i="72" s="1"/>
  <c r="GH78" i="72"/>
  <c r="GQ83" i="72"/>
  <c r="GS83" i="72" s="1"/>
  <c r="GM83" i="72"/>
  <c r="GM64" i="72"/>
  <c r="GQ64" i="72"/>
  <c r="GR64" i="72"/>
  <c r="GU64" i="72" s="1"/>
  <c r="GM43" i="72"/>
  <c r="GQ43" i="72"/>
  <c r="GS43" i="72" s="1"/>
  <c r="GU45" i="72"/>
  <c r="GQ53" i="72"/>
  <c r="GM53" i="72"/>
  <c r="GU85" i="72"/>
  <c r="GQ81" i="72"/>
  <c r="GM81" i="72"/>
  <c r="GR81" i="72"/>
  <c r="GQ29" i="72"/>
  <c r="GM29" i="72"/>
  <c r="GM55" i="72"/>
  <c r="GQ55" i="72"/>
  <c r="GQ79" i="72"/>
  <c r="GS79" i="72" s="1"/>
  <c r="GM79" i="72"/>
  <c r="GQ76" i="72"/>
  <c r="GM76" i="72"/>
  <c r="GQ42" i="72"/>
  <c r="GM42" i="72"/>
  <c r="GQ57" i="72"/>
  <c r="GT57" i="72" s="1"/>
  <c r="GM57" i="72"/>
  <c r="GR48" i="72"/>
  <c r="GU48" i="72" s="1"/>
  <c r="GR76" i="72"/>
  <c r="GR49" i="72"/>
  <c r="GR38" i="72"/>
  <c r="GM47" i="72"/>
  <c r="GQ47" i="72"/>
  <c r="FX63" i="72"/>
  <c r="GQ75" i="72"/>
  <c r="GS75" i="72" s="1"/>
  <c r="GM75" i="72"/>
  <c r="GR62" i="72"/>
  <c r="GU62" i="72" s="1"/>
  <c r="GQ33" i="72"/>
  <c r="GM33" i="72"/>
  <c r="GH38" i="72"/>
  <c r="GM32" i="72"/>
  <c r="GQ32" i="72"/>
  <c r="GS32" i="72" s="1"/>
  <c r="GM78" i="72"/>
  <c r="GQ78" i="72"/>
  <c r="GR78" i="72"/>
  <c r="GU78" i="72" s="1"/>
  <c r="GQ44" i="72"/>
  <c r="GM44" i="72"/>
  <c r="GM59" i="72"/>
  <c r="GQ59" i="72"/>
  <c r="GU34" i="72"/>
  <c r="GR47" i="72"/>
  <c r="GQ30" i="72"/>
  <c r="GM30" i="72"/>
  <c r="GR30" i="72"/>
  <c r="GU30" i="72" s="1"/>
  <c r="GQ77" i="72"/>
  <c r="GM77" i="72"/>
  <c r="GQ74" i="72"/>
  <c r="GM74" i="72"/>
  <c r="GU75" i="72"/>
  <c r="GR53" i="72"/>
  <c r="GR41" i="72"/>
  <c r="GU41" i="72" s="1"/>
  <c r="GR68" i="72"/>
  <c r="GU68" i="72" s="1"/>
  <c r="GR42" i="72"/>
  <c r="GU42" i="72" s="1"/>
  <c r="GQ86" i="72"/>
  <c r="GM86" i="72"/>
  <c r="GQ65" i="72"/>
  <c r="GT65" i="72" s="1"/>
  <c r="GM65" i="72"/>
  <c r="GR65" i="72"/>
  <c r="GU65" i="72" s="1"/>
  <c r="GM39" i="72"/>
  <c r="GQ39" i="72"/>
  <c r="GR86" i="72"/>
  <c r="GU86" i="72" s="1"/>
  <c r="GM80" i="72"/>
  <c r="GQ80" i="72"/>
  <c r="GS80" i="72" s="1"/>
  <c r="GH77" i="72"/>
  <c r="GQ28" i="72"/>
  <c r="GM28" i="72"/>
  <c r="GR28" i="72"/>
  <c r="GU28" i="72" s="1"/>
  <c r="GM72" i="72"/>
  <c r="GQ72" i="72"/>
  <c r="GS72" i="72" s="1"/>
  <c r="GQ26" i="72"/>
  <c r="GM26" i="72"/>
  <c r="GR39" i="72"/>
  <c r="GU39" i="72" s="1"/>
  <c r="GM56" i="72"/>
  <c r="GQ56" i="72"/>
  <c r="GR56" i="72"/>
  <c r="GU56" i="72" s="1"/>
  <c r="GQ34" i="72"/>
  <c r="GM34" i="72"/>
  <c r="GQ58" i="72"/>
  <c r="GS58" i="72" s="1"/>
  <c r="GM58" i="72"/>
  <c r="GQ46" i="72"/>
  <c r="GM46" i="72"/>
  <c r="GR59" i="72"/>
  <c r="GQ84" i="72"/>
  <c r="GS84" i="72" s="1"/>
  <c r="GM84" i="72"/>
  <c r="GU80" i="72"/>
  <c r="GR77" i="72"/>
  <c r="GU77" i="72" s="1"/>
  <c r="GR29" i="72"/>
  <c r="GU29" i="72" s="1"/>
  <c r="GR31" i="72"/>
  <c r="GR57" i="72"/>
  <c r="GQ45" i="72"/>
  <c r="GS45" i="72" s="1"/>
  <c r="GM45" i="72"/>
  <c r="GQ85" i="72"/>
  <c r="GS85" i="72" s="1"/>
  <c r="GM85" i="72"/>
  <c r="FR52" i="72"/>
  <c r="CF40" i="72"/>
  <c r="GJ40" i="72"/>
  <c r="GJ48" i="72"/>
  <c r="GJ37" i="72"/>
  <c r="FR51" i="72"/>
  <c r="FP29" i="72" s="1"/>
  <c r="DA24" i="72"/>
  <c r="DO24" i="72" s="1"/>
  <c r="BH42" i="72"/>
  <c r="FR55" i="72" s="1"/>
  <c r="FP33" i="72" s="1"/>
  <c r="DI24" i="72"/>
  <c r="CQ36" i="72"/>
  <c r="GJ68" i="72"/>
  <c r="HM27" i="106" l="1"/>
  <c r="HM53" i="106"/>
  <c r="HK39" i="106"/>
  <c r="HM39" i="106"/>
  <c r="HM55" i="106"/>
  <c r="ES29" i="106"/>
  <c r="HM61" i="106"/>
  <c r="HM63" i="106"/>
  <c r="HM68" i="106"/>
  <c r="HN70" i="106"/>
  <c r="HT70" i="106" s="1"/>
  <c r="HU70" i="106" s="1"/>
  <c r="HM43" i="106"/>
  <c r="HL55" i="106"/>
  <c r="HM82" i="106"/>
  <c r="HM35" i="106"/>
  <c r="HM79" i="106"/>
  <c r="HM67" i="106"/>
  <c r="HM42" i="106"/>
  <c r="HM78" i="106"/>
  <c r="HM51" i="106"/>
  <c r="HM26" i="106"/>
  <c r="HN60" i="106"/>
  <c r="HT60" i="106" s="1"/>
  <c r="HU60" i="106" s="1"/>
  <c r="HM32" i="106"/>
  <c r="HM75" i="106"/>
  <c r="HK79" i="106"/>
  <c r="HL79" i="106"/>
  <c r="HM81" i="106"/>
  <c r="HM47" i="106"/>
  <c r="HN39" i="106"/>
  <c r="HT39" i="106" s="1"/>
  <c r="HU39" i="106" s="1"/>
  <c r="HM76" i="106"/>
  <c r="HM62" i="106"/>
  <c r="HM41" i="106"/>
  <c r="HM38" i="106"/>
  <c r="FP37" i="106"/>
  <c r="GJ39" i="72"/>
  <c r="HM71" i="106"/>
  <c r="HM49" i="106"/>
  <c r="HM40" i="106"/>
  <c r="HM37" i="106"/>
  <c r="EN29" i="106"/>
  <c r="HM66" i="106"/>
  <c r="HM36" i="106"/>
  <c r="HP42" i="106"/>
  <c r="HP74" i="106"/>
  <c r="HP67" i="106"/>
  <c r="HP81" i="106"/>
  <c r="HL58" i="106"/>
  <c r="HK58" i="106"/>
  <c r="HP80" i="106"/>
  <c r="HL28" i="106"/>
  <c r="HK28" i="106"/>
  <c r="HL30" i="106"/>
  <c r="HK30" i="106"/>
  <c r="HP66" i="106"/>
  <c r="HP31" i="106"/>
  <c r="HK35" i="106"/>
  <c r="HL35" i="106"/>
  <c r="HK47" i="106"/>
  <c r="HL47" i="106"/>
  <c r="HL38" i="106"/>
  <c r="HK38" i="106"/>
  <c r="HL74" i="106"/>
  <c r="HK74" i="106"/>
  <c r="HK45" i="106"/>
  <c r="HL45" i="106"/>
  <c r="HP58" i="106"/>
  <c r="HL80" i="106"/>
  <c r="HK80" i="106"/>
  <c r="HM80" i="106"/>
  <c r="HP50" i="106"/>
  <c r="HP37" i="106"/>
  <c r="HK31" i="106"/>
  <c r="HL31" i="106"/>
  <c r="HL29" i="106"/>
  <c r="HK29" i="106"/>
  <c r="HK61" i="106"/>
  <c r="HL61" i="106"/>
  <c r="HP64" i="106"/>
  <c r="FP44" i="106"/>
  <c r="CV21" i="106"/>
  <c r="HP77" i="106"/>
  <c r="HL64" i="106"/>
  <c r="HK64" i="106"/>
  <c r="HP45" i="106"/>
  <c r="HP51" i="106"/>
  <c r="HM58" i="106"/>
  <c r="HK50" i="106"/>
  <c r="HL50" i="106"/>
  <c r="HL37" i="106"/>
  <c r="HK37" i="106"/>
  <c r="HK44" i="106"/>
  <c r="HL44" i="106"/>
  <c r="HP29" i="106"/>
  <c r="HP61" i="106"/>
  <c r="HL77" i="106"/>
  <c r="HK77" i="106"/>
  <c r="HP54" i="106"/>
  <c r="HK56" i="106"/>
  <c r="HL56" i="106"/>
  <c r="HL51" i="106"/>
  <c r="HK51" i="106"/>
  <c r="DC21" i="106"/>
  <c r="FR45" i="106" s="1"/>
  <c r="FR44" i="106"/>
  <c r="HL26" i="106"/>
  <c r="HK26" i="106"/>
  <c r="HM64" i="106"/>
  <c r="HL86" i="106"/>
  <c r="HK86" i="106"/>
  <c r="HP44" i="106"/>
  <c r="HL73" i="106"/>
  <c r="HK73" i="106"/>
  <c r="HP52" i="106"/>
  <c r="HK54" i="106"/>
  <c r="HL54" i="106"/>
  <c r="HP56" i="106"/>
  <c r="HP33" i="106"/>
  <c r="HP46" i="106"/>
  <c r="HP26" i="106"/>
  <c r="HM31" i="106"/>
  <c r="HP86" i="106"/>
  <c r="HP65" i="106"/>
  <c r="HP73" i="106"/>
  <c r="HK52" i="106"/>
  <c r="HL52" i="106"/>
  <c r="HL85" i="106"/>
  <c r="HK85" i="106"/>
  <c r="HP48" i="106"/>
  <c r="HL33" i="106"/>
  <c r="HK33" i="106"/>
  <c r="HK46" i="106"/>
  <c r="HL46" i="106"/>
  <c r="HP71" i="106"/>
  <c r="HK72" i="106"/>
  <c r="HL72" i="106"/>
  <c r="HN72" i="106" s="1"/>
  <c r="HT72" i="106" s="1"/>
  <c r="HK65" i="106"/>
  <c r="HL65" i="106"/>
  <c r="HP85" i="106"/>
  <c r="HK48" i="106"/>
  <c r="HL48" i="106"/>
  <c r="HM85" i="106"/>
  <c r="HP59" i="106"/>
  <c r="HK71" i="106"/>
  <c r="HL71" i="106"/>
  <c r="HP72" i="106"/>
  <c r="HM29" i="106"/>
  <c r="HM65" i="106"/>
  <c r="HM48" i="106"/>
  <c r="HP43" i="106"/>
  <c r="HL32" i="106"/>
  <c r="HK32" i="106"/>
  <c r="HM56" i="106"/>
  <c r="HL69" i="106"/>
  <c r="HK69" i="106"/>
  <c r="HL59" i="106"/>
  <c r="HK59" i="106"/>
  <c r="HM77" i="106"/>
  <c r="HM86" i="106"/>
  <c r="HP62" i="106"/>
  <c r="HP49" i="106"/>
  <c r="HM33" i="106"/>
  <c r="HP57" i="106"/>
  <c r="HL43" i="106"/>
  <c r="HK43" i="106"/>
  <c r="HP32" i="106"/>
  <c r="HP34" i="106"/>
  <c r="HP69" i="106"/>
  <c r="HL83" i="106"/>
  <c r="HK83" i="106"/>
  <c r="HM50" i="106"/>
  <c r="HM44" i="106"/>
  <c r="HP36" i="106"/>
  <c r="HK62" i="106"/>
  <c r="HL62" i="106"/>
  <c r="HK49" i="106"/>
  <c r="HL49" i="106"/>
  <c r="HM74" i="106"/>
  <c r="HP75" i="106"/>
  <c r="HL84" i="106"/>
  <c r="HK84" i="106"/>
  <c r="HM69" i="106"/>
  <c r="HL57" i="106"/>
  <c r="HN57" i="106" s="1"/>
  <c r="HT57" i="106" s="1"/>
  <c r="HK57" i="106"/>
  <c r="HK53" i="106"/>
  <c r="HL53" i="106"/>
  <c r="HL78" i="106"/>
  <c r="HN78" i="106" s="1"/>
  <c r="HT78" i="106" s="1"/>
  <c r="HK78" i="106"/>
  <c r="HK34" i="106"/>
  <c r="HL34" i="106"/>
  <c r="HM52" i="106"/>
  <c r="HP83" i="106"/>
  <c r="HP40" i="106"/>
  <c r="HP27" i="106"/>
  <c r="HL36" i="106"/>
  <c r="HK36" i="106"/>
  <c r="HP76" i="106"/>
  <c r="HM54" i="106"/>
  <c r="HL75" i="106"/>
  <c r="HK75" i="106"/>
  <c r="HP84" i="106"/>
  <c r="HM45" i="106"/>
  <c r="HL82" i="106"/>
  <c r="HK82" i="106"/>
  <c r="HP78" i="106"/>
  <c r="HM28" i="106"/>
  <c r="HM30" i="106"/>
  <c r="HP68" i="106"/>
  <c r="HP41" i="106"/>
  <c r="HL40" i="106"/>
  <c r="HK40" i="106"/>
  <c r="HK27" i="106"/>
  <c r="HL27" i="106"/>
  <c r="HL76" i="106"/>
  <c r="HK76" i="106"/>
  <c r="HP63" i="106"/>
  <c r="HM84" i="106"/>
  <c r="HM59" i="106"/>
  <c r="HM34" i="106"/>
  <c r="HM46" i="106"/>
  <c r="HP53" i="106"/>
  <c r="HL42" i="106"/>
  <c r="HK42" i="106"/>
  <c r="HP82" i="106"/>
  <c r="HK67" i="106"/>
  <c r="HL67" i="106"/>
  <c r="HL81" i="106"/>
  <c r="HK81" i="106"/>
  <c r="HM73" i="106"/>
  <c r="HL68" i="106"/>
  <c r="HN68" i="106" s="1"/>
  <c r="HT68" i="106" s="1"/>
  <c r="HK68" i="106"/>
  <c r="HL41" i="106"/>
  <c r="HK41" i="106"/>
  <c r="HP28" i="106"/>
  <c r="HP30" i="106"/>
  <c r="HL66" i="106"/>
  <c r="HK66" i="106"/>
  <c r="HL63" i="106"/>
  <c r="HN63" i="106" s="1"/>
  <c r="HT63" i="106" s="1"/>
  <c r="HK63" i="106"/>
  <c r="HP35" i="106"/>
  <c r="HP47" i="106"/>
  <c r="HP38" i="106"/>
  <c r="HM83" i="106"/>
  <c r="GJ72" i="72"/>
  <c r="GU82" i="72"/>
  <c r="GT67" i="72"/>
  <c r="GT36" i="72"/>
  <c r="GA46" i="72"/>
  <c r="GH65" i="72"/>
  <c r="GJ65" i="72" s="1"/>
  <c r="GU83" i="72"/>
  <c r="FX67" i="72"/>
  <c r="GA48" i="72"/>
  <c r="GA39" i="72"/>
  <c r="GU31" i="72"/>
  <c r="GT38" i="72"/>
  <c r="GJ82" i="72"/>
  <c r="GJ50" i="72"/>
  <c r="GJ57" i="72"/>
  <c r="GJ53" i="72"/>
  <c r="FX31" i="72"/>
  <c r="FX38" i="72"/>
  <c r="GJ30" i="72"/>
  <c r="FX44" i="72"/>
  <c r="GU53" i="72"/>
  <c r="GJ64" i="72"/>
  <c r="FX39" i="72"/>
  <c r="GJ43" i="72"/>
  <c r="GJ83" i="72"/>
  <c r="GJ63" i="72"/>
  <c r="FX35" i="72"/>
  <c r="FX62" i="72"/>
  <c r="GJ62" i="72"/>
  <c r="FX42" i="72"/>
  <c r="GA43" i="72"/>
  <c r="FX86" i="72"/>
  <c r="GJ32" i="72"/>
  <c r="GA64" i="72"/>
  <c r="FX54" i="72"/>
  <c r="GJ47" i="72"/>
  <c r="GJ26" i="72"/>
  <c r="GJ77" i="72"/>
  <c r="GA30" i="72"/>
  <c r="GU47" i="72"/>
  <c r="GU71" i="72"/>
  <c r="GU70" i="72"/>
  <c r="FX45" i="72"/>
  <c r="FX77" i="72"/>
  <c r="GT59" i="72"/>
  <c r="GA38" i="72"/>
  <c r="GU54" i="72"/>
  <c r="GA47" i="72"/>
  <c r="FX49" i="72"/>
  <c r="FX34" i="72"/>
  <c r="GT42" i="72"/>
  <c r="GT29" i="72"/>
  <c r="GU49" i="72"/>
  <c r="FX29" i="72"/>
  <c r="FX73" i="72"/>
  <c r="GA63" i="72"/>
  <c r="GA62" i="72"/>
  <c r="GT31" i="72"/>
  <c r="GA77" i="72"/>
  <c r="GA26" i="72"/>
  <c r="FX75" i="72"/>
  <c r="GA78" i="72"/>
  <c r="GU76" i="72"/>
  <c r="GA50" i="72"/>
  <c r="GA82" i="72"/>
  <c r="GT86" i="72"/>
  <c r="GJ54" i="72"/>
  <c r="GT70" i="72"/>
  <c r="GA81" i="72"/>
  <c r="GA83" i="72"/>
  <c r="GU57" i="72"/>
  <c r="GU59" i="72"/>
  <c r="GU38" i="72"/>
  <c r="GV38" i="72" s="1"/>
  <c r="GU81" i="72"/>
  <c r="GJ78" i="72"/>
  <c r="GA71" i="72"/>
  <c r="FX66" i="72"/>
  <c r="FX33" i="72"/>
  <c r="GJ46" i="72"/>
  <c r="GS28" i="72"/>
  <c r="FX71" i="72"/>
  <c r="GJ29" i="72"/>
  <c r="HJ39" i="73"/>
  <c r="GA72" i="72"/>
  <c r="GA57" i="72"/>
  <c r="GT40" i="72"/>
  <c r="GV40" i="72" s="1"/>
  <c r="GA32" i="72"/>
  <c r="FX43" i="72"/>
  <c r="FX69" i="72"/>
  <c r="CX30" i="72"/>
  <c r="FX50" i="72"/>
  <c r="FX65" i="72"/>
  <c r="FX32" i="72"/>
  <c r="GS62" i="72"/>
  <c r="FX40" i="72"/>
  <c r="FX37" i="72"/>
  <c r="FX72" i="72"/>
  <c r="FX80" i="72"/>
  <c r="FX79" i="72"/>
  <c r="GH70" i="72"/>
  <c r="GJ70" i="72" s="1"/>
  <c r="GA70" i="72"/>
  <c r="FX57" i="72"/>
  <c r="FX61" i="72"/>
  <c r="GH75" i="72"/>
  <c r="GJ75" i="72" s="1"/>
  <c r="GA75" i="72"/>
  <c r="GA42" i="72"/>
  <c r="GH69" i="72"/>
  <c r="GJ69" i="72" s="1"/>
  <c r="GA69" i="72"/>
  <c r="FX48" i="72"/>
  <c r="FX81" i="72"/>
  <c r="FX56" i="72"/>
  <c r="GA61" i="72"/>
  <c r="GH61" i="72"/>
  <c r="GJ61" i="72" s="1"/>
  <c r="GH85" i="72"/>
  <c r="GJ85" i="72" s="1"/>
  <c r="GA85" i="72"/>
  <c r="GH56" i="72"/>
  <c r="GJ56" i="72" s="1"/>
  <c r="GA56" i="72"/>
  <c r="FX59" i="72"/>
  <c r="FX74" i="72"/>
  <c r="GH66" i="72"/>
  <c r="GJ66" i="72" s="1"/>
  <c r="GA66" i="72"/>
  <c r="FX46" i="72"/>
  <c r="GH73" i="72"/>
  <c r="GJ73" i="72" s="1"/>
  <c r="GA73" i="72"/>
  <c r="FX85" i="72"/>
  <c r="GA27" i="72"/>
  <c r="GH27" i="72"/>
  <c r="GJ27" i="72" s="1"/>
  <c r="FX58" i="72"/>
  <c r="GH67" i="72"/>
  <c r="GJ67" i="72" s="1"/>
  <c r="GA67" i="72"/>
  <c r="GH80" i="72"/>
  <c r="GJ80" i="72" s="1"/>
  <c r="GA80" i="72"/>
  <c r="FX68" i="72"/>
  <c r="GA44" i="72"/>
  <c r="GH44" i="72"/>
  <c r="GJ44" i="72" s="1"/>
  <c r="GH34" i="72"/>
  <c r="GJ34" i="72" s="1"/>
  <c r="GA34" i="72"/>
  <c r="FX70" i="72"/>
  <c r="GA51" i="72"/>
  <c r="GH51" i="72"/>
  <c r="GJ51" i="72" s="1"/>
  <c r="GH45" i="72"/>
  <c r="GJ45" i="72" s="1"/>
  <c r="GA45" i="72"/>
  <c r="FX78" i="72"/>
  <c r="GA79" i="72"/>
  <c r="GH79" i="72"/>
  <c r="GJ79" i="72" s="1"/>
  <c r="CK33" i="72"/>
  <c r="CS31" i="72"/>
  <c r="DC30" i="72" s="1"/>
  <c r="GH76" i="72"/>
  <c r="GJ76" i="72" s="1"/>
  <c r="GA76" i="72"/>
  <c r="FX26" i="72"/>
  <c r="FX64" i="72"/>
  <c r="FX30" i="72"/>
  <c r="FX36" i="72"/>
  <c r="FX84" i="72"/>
  <c r="GA49" i="72"/>
  <c r="GH49" i="72"/>
  <c r="GJ49" i="72" s="1"/>
  <c r="GA84" i="72"/>
  <c r="GH84" i="72"/>
  <c r="GJ84" i="72" s="1"/>
  <c r="GA36" i="72"/>
  <c r="GH36" i="72"/>
  <c r="GJ36" i="72" s="1"/>
  <c r="FX76" i="72"/>
  <c r="FX53" i="72"/>
  <c r="GA29" i="72"/>
  <c r="FX28" i="72"/>
  <c r="GA60" i="72"/>
  <c r="GH60" i="72"/>
  <c r="GJ60" i="72" s="1"/>
  <c r="GA35" i="72"/>
  <c r="GH35" i="72"/>
  <c r="GJ35" i="72" s="1"/>
  <c r="GS52" i="72"/>
  <c r="GH28" i="72"/>
  <c r="GJ28" i="72" s="1"/>
  <c r="GA28" i="72"/>
  <c r="GA55" i="72"/>
  <c r="GH55" i="72"/>
  <c r="GJ55" i="72" s="1"/>
  <c r="GH33" i="72"/>
  <c r="GJ33" i="72" s="1"/>
  <c r="GA33" i="72"/>
  <c r="GH52" i="72"/>
  <c r="GJ52" i="72" s="1"/>
  <c r="GA52" i="72"/>
  <c r="FX82" i="72"/>
  <c r="GA54" i="72"/>
  <c r="GH58" i="72"/>
  <c r="GJ58" i="72" s="1"/>
  <c r="GA58" i="72"/>
  <c r="GA31" i="72"/>
  <c r="GH31" i="72"/>
  <c r="GJ31" i="72" s="1"/>
  <c r="GA86" i="72"/>
  <c r="GH86" i="72"/>
  <c r="GJ86" i="72" s="1"/>
  <c r="FX55" i="72"/>
  <c r="FX60" i="72"/>
  <c r="GA59" i="72"/>
  <c r="GH59" i="72"/>
  <c r="GJ59" i="72" s="1"/>
  <c r="GS78" i="72"/>
  <c r="GV29" i="72"/>
  <c r="GS47" i="72"/>
  <c r="GS67" i="72"/>
  <c r="HJ50" i="73"/>
  <c r="HJ73" i="73"/>
  <c r="HJ80" i="73"/>
  <c r="HJ41" i="73"/>
  <c r="HJ47" i="73"/>
  <c r="HJ77" i="73"/>
  <c r="HJ81" i="73"/>
  <c r="HJ74" i="73"/>
  <c r="HJ54" i="73"/>
  <c r="HJ56" i="73"/>
  <c r="HJ78" i="73"/>
  <c r="HJ67" i="73"/>
  <c r="HJ82" i="73"/>
  <c r="HJ69" i="73"/>
  <c r="HJ34" i="73"/>
  <c r="HJ48" i="73"/>
  <c r="HJ57" i="73"/>
  <c r="HJ35" i="73"/>
  <c r="HJ83" i="73"/>
  <c r="HJ72" i="73"/>
  <c r="HJ85" i="73"/>
  <c r="HJ65" i="73"/>
  <c r="HJ37" i="73"/>
  <c r="HJ46" i="73"/>
  <c r="HJ32" i="73"/>
  <c r="HJ71" i="73"/>
  <c r="HJ29" i="73"/>
  <c r="HJ70" i="73"/>
  <c r="HJ63" i="73"/>
  <c r="HJ52" i="73"/>
  <c r="HJ33" i="73"/>
  <c r="FC7" i="73"/>
  <c r="HJ44" i="73"/>
  <c r="HJ53" i="73"/>
  <c r="HJ36" i="73"/>
  <c r="HJ84" i="73"/>
  <c r="BF58" i="73"/>
  <c r="FR58" i="73" s="1"/>
  <c r="FR48" i="73" s="1"/>
  <c r="HJ27" i="73"/>
  <c r="HJ66" i="73"/>
  <c r="FP31" i="73"/>
  <c r="HJ62" i="73"/>
  <c r="GX57" i="72"/>
  <c r="GT47" i="72"/>
  <c r="GX47" i="72" s="1"/>
  <c r="GT27" i="72"/>
  <c r="GW27" i="72" s="1"/>
  <c r="GT58" i="72"/>
  <c r="GV58" i="72" s="1"/>
  <c r="GW82" i="72"/>
  <c r="GT85" i="72"/>
  <c r="GW85" i="72" s="1"/>
  <c r="GZ85" i="72" s="1"/>
  <c r="GV36" i="72"/>
  <c r="GT79" i="72"/>
  <c r="GV79" i="72" s="1"/>
  <c r="GS30" i="72"/>
  <c r="GX29" i="72"/>
  <c r="HA29" i="72" s="1"/>
  <c r="GW57" i="72"/>
  <c r="GW38" i="72"/>
  <c r="GZ38" i="72" s="1"/>
  <c r="HI42" i="73"/>
  <c r="HH42" i="73"/>
  <c r="HO42" i="73" s="1"/>
  <c r="HH76" i="73"/>
  <c r="HO76" i="73" s="1"/>
  <c r="HI76" i="73"/>
  <c r="HJ30" i="73"/>
  <c r="HI58" i="73"/>
  <c r="HH58" i="73"/>
  <c r="HO58" i="73" s="1"/>
  <c r="HJ43" i="73"/>
  <c r="HI28" i="73"/>
  <c r="HH28" i="73"/>
  <c r="HO28" i="73" s="1"/>
  <c r="HH85" i="73"/>
  <c r="HO85" i="73" s="1"/>
  <c r="HI85" i="73"/>
  <c r="FC10" i="73"/>
  <c r="HI31" i="73"/>
  <c r="HH31" i="73"/>
  <c r="HO31" i="73" s="1"/>
  <c r="HH59" i="73"/>
  <c r="HO59" i="73" s="1"/>
  <c r="HI59" i="73"/>
  <c r="HM59" i="73" s="1"/>
  <c r="FP57" i="73"/>
  <c r="EM22" i="73"/>
  <c r="EM23" i="73"/>
  <c r="HI54" i="73"/>
  <c r="HH54" i="73"/>
  <c r="HO54" i="73" s="1"/>
  <c r="HH64" i="73"/>
  <c r="HO64" i="73" s="1"/>
  <c r="HI64" i="73"/>
  <c r="HJ55" i="73"/>
  <c r="AZ58" i="73"/>
  <c r="HH57" i="73"/>
  <c r="HO57" i="73" s="1"/>
  <c r="HI57" i="73"/>
  <c r="HI77" i="73"/>
  <c r="HH77" i="73"/>
  <c r="HO77" i="73" s="1"/>
  <c r="HI67" i="73"/>
  <c r="HH67" i="73"/>
  <c r="HO67" i="73" s="1"/>
  <c r="HI44" i="73"/>
  <c r="HH44" i="73"/>
  <c r="HO44" i="73" s="1"/>
  <c r="HJ64" i="73"/>
  <c r="HH86" i="73"/>
  <c r="HO86" i="73" s="1"/>
  <c r="HI86" i="73"/>
  <c r="HH51" i="73"/>
  <c r="HO51" i="73" s="1"/>
  <c r="HI51" i="73"/>
  <c r="HJ58" i="73"/>
  <c r="HI49" i="73"/>
  <c r="HH49" i="73"/>
  <c r="HO49" i="73" s="1"/>
  <c r="HH71" i="73"/>
  <c r="HO71" i="73" s="1"/>
  <c r="HI71" i="73"/>
  <c r="HI39" i="73"/>
  <c r="HM39" i="73" s="1"/>
  <c r="HH39" i="73"/>
  <c r="HO39" i="73" s="1"/>
  <c r="HI45" i="73"/>
  <c r="HH45" i="73"/>
  <c r="HO45" i="73" s="1"/>
  <c r="HI72" i="73"/>
  <c r="HH72" i="73"/>
  <c r="HO72" i="73" s="1"/>
  <c r="HI26" i="73"/>
  <c r="HH26" i="73"/>
  <c r="HO26" i="73" s="1"/>
  <c r="FR57" i="73"/>
  <c r="ET22" i="73"/>
  <c r="HH40" i="73"/>
  <c r="HO40" i="73" s="1"/>
  <c r="HI40" i="73"/>
  <c r="HI65" i="73"/>
  <c r="HH65" i="73"/>
  <c r="HO65" i="73" s="1"/>
  <c r="HH61" i="73"/>
  <c r="HO61" i="73" s="1"/>
  <c r="HI61" i="73"/>
  <c r="HH55" i="73"/>
  <c r="HO55" i="73" s="1"/>
  <c r="HI55" i="73"/>
  <c r="HH84" i="73"/>
  <c r="HO84" i="73" s="1"/>
  <c r="HI84" i="73"/>
  <c r="HJ45" i="73"/>
  <c r="HI74" i="73"/>
  <c r="HH74" i="73"/>
  <c r="HO74" i="73" s="1"/>
  <c r="HI56" i="73"/>
  <c r="HH56" i="73"/>
  <c r="HO56" i="73" s="1"/>
  <c r="HJ28" i="73"/>
  <c r="HJ61" i="73"/>
  <c r="HI27" i="73"/>
  <c r="HH27" i="73"/>
  <c r="HO27" i="73" s="1"/>
  <c r="HH62" i="73"/>
  <c r="HO62" i="73" s="1"/>
  <c r="HI62" i="73"/>
  <c r="HH30" i="73"/>
  <c r="HO30" i="73" s="1"/>
  <c r="HI30" i="73"/>
  <c r="HI79" i="73"/>
  <c r="HH79" i="73"/>
  <c r="HO79" i="73" s="1"/>
  <c r="HI47" i="73"/>
  <c r="HH47" i="73"/>
  <c r="HO47" i="73" s="1"/>
  <c r="HJ51" i="73"/>
  <c r="HI48" i="73"/>
  <c r="HH48" i="73"/>
  <c r="HO48" i="73" s="1"/>
  <c r="HJ31" i="73"/>
  <c r="HI34" i="73"/>
  <c r="HH34" i="73"/>
  <c r="HO34" i="73" s="1"/>
  <c r="HJ26" i="73"/>
  <c r="HI33" i="73"/>
  <c r="HH33" i="73"/>
  <c r="HO33" i="73" s="1"/>
  <c r="HJ76" i="73"/>
  <c r="HI37" i="73"/>
  <c r="HH37" i="73"/>
  <c r="HO37" i="73" s="1"/>
  <c r="HI78" i="73"/>
  <c r="HH78" i="73"/>
  <c r="HO78" i="73" s="1"/>
  <c r="HI52" i="73"/>
  <c r="HH52" i="73"/>
  <c r="HO52" i="73" s="1"/>
  <c r="HH35" i="73"/>
  <c r="HO35" i="73" s="1"/>
  <c r="HI35" i="73"/>
  <c r="HI80" i="73"/>
  <c r="HH80" i="73"/>
  <c r="HO80" i="73" s="1"/>
  <c r="HJ40" i="73"/>
  <c r="HH75" i="73"/>
  <c r="HO75" i="73" s="1"/>
  <c r="HI75" i="73"/>
  <c r="HI38" i="73"/>
  <c r="HH38" i="73"/>
  <c r="HO38" i="73" s="1"/>
  <c r="HH70" i="73"/>
  <c r="HO70" i="73" s="1"/>
  <c r="HI70" i="73"/>
  <c r="HI50" i="73"/>
  <c r="HH50" i="73"/>
  <c r="HO50" i="73" s="1"/>
  <c r="HI43" i="73"/>
  <c r="HH43" i="73"/>
  <c r="HO43" i="73" s="1"/>
  <c r="HH32" i="73"/>
  <c r="HO32" i="73" s="1"/>
  <c r="HI32" i="73"/>
  <c r="HH68" i="73"/>
  <c r="HO68" i="73" s="1"/>
  <c r="HI68" i="73"/>
  <c r="HJ75" i="73"/>
  <c r="HI46" i="73"/>
  <c r="HH46" i="73"/>
  <c r="HO46" i="73" s="1"/>
  <c r="HH82" i="73"/>
  <c r="HO82" i="73" s="1"/>
  <c r="HI82" i="73"/>
  <c r="HH73" i="73"/>
  <c r="HO73" i="73" s="1"/>
  <c r="HI73" i="73"/>
  <c r="HH29" i="73"/>
  <c r="HO29" i="73" s="1"/>
  <c r="HI29" i="73"/>
  <c r="HI36" i="73"/>
  <c r="HH36" i="73"/>
  <c r="HO36" i="73" s="1"/>
  <c r="HH69" i="73"/>
  <c r="HO69" i="73" s="1"/>
  <c r="HI69" i="73"/>
  <c r="HJ42" i="73"/>
  <c r="HI66" i="73"/>
  <c r="HH66" i="73"/>
  <c r="HO66" i="73" s="1"/>
  <c r="HI81" i="73"/>
  <c r="HH81" i="73"/>
  <c r="HO81" i="73" s="1"/>
  <c r="HJ38" i="73"/>
  <c r="HJ49" i="73"/>
  <c r="HH83" i="73"/>
  <c r="HO83" i="73" s="1"/>
  <c r="HI83" i="73"/>
  <c r="HI41" i="73"/>
  <c r="HH41" i="73"/>
  <c r="HO41" i="73" s="1"/>
  <c r="HH63" i="73"/>
  <c r="HO63" i="73" s="1"/>
  <c r="HI63" i="73"/>
  <c r="HH60" i="73"/>
  <c r="HO60" i="73" s="1"/>
  <c r="HI60" i="73"/>
  <c r="HI53" i="73"/>
  <c r="HH53" i="73"/>
  <c r="HO53" i="73" s="1"/>
  <c r="HJ60" i="73"/>
  <c r="HJ79" i="73"/>
  <c r="HJ86" i="73"/>
  <c r="GV31" i="72"/>
  <c r="GV70" i="72"/>
  <c r="GW42" i="72"/>
  <c r="GZ42" i="72" s="1"/>
  <c r="GV42" i="72"/>
  <c r="GX42" i="72"/>
  <c r="GV41" i="72"/>
  <c r="GW65" i="72"/>
  <c r="GV65" i="72"/>
  <c r="GX65" i="72"/>
  <c r="HA65" i="72" s="1"/>
  <c r="GV86" i="72"/>
  <c r="GX86" i="72"/>
  <c r="GV67" i="72"/>
  <c r="GX67" i="72"/>
  <c r="HA67" i="72" s="1"/>
  <c r="GW67" i="72"/>
  <c r="GV82" i="72"/>
  <c r="GV57" i="72"/>
  <c r="GS65" i="72"/>
  <c r="GS44" i="72"/>
  <c r="GT44" i="72"/>
  <c r="GS57" i="72"/>
  <c r="GT80" i="72"/>
  <c r="GT37" i="72"/>
  <c r="GS64" i="72"/>
  <c r="GX82" i="72"/>
  <c r="GW29" i="72"/>
  <c r="GS56" i="72"/>
  <c r="GT56" i="72"/>
  <c r="GS74" i="72"/>
  <c r="GT74" i="72"/>
  <c r="GS61" i="72"/>
  <c r="GT61" i="72"/>
  <c r="GS54" i="72"/>
  <c r="GS63" i="72"/>
  <c r="GT63" i="72"/>
  <c r="GS50" i="72"/>
  <c r="GT50" i="72"/>
  <c r="GS35" i="72"/>
  <c r="GT35" i="72"/>
  <c r="GT51" i="72"/>
  <c r="GT30" i="72"/>
  <c r="GS46" i="72"/>
  <c r="GT46" i="72"/>
  <c r="GS33" i="72"/>
  <c r="GT33" i="72"/>
  <c r="GT78" i="72"/>
  <c r="GS55" i="72"/>
  <c r="GT55" i="72"/>
  <c r="GT75" i="72"/>
  <c r="GS69" i="72"/>
  <c r="GT69" i="72"/>
  <c r="GT32" i="72"/>
  <c r="GS38" i="72"/>
  <c r="GT72" i="72"/>
  <c r="GT62" i="72"/>
  <c r="GS42" i="72"/>
  <c r="GS81" i="72"/>
  <c r="GT81" i="72"/>
  <c r="GS41" i="72"/>
  <c r="GS48" i="72"/>
  <c r="GT48" i="72"/>
  <c r="GT54" i="72"/>
  <c r="GS73" i="72"/>
  <c r="GT73" i="72"/>
  <c r="GS53" i="72"/>
  <c r="GT53" i="72"/>
  <c r="GJ38" i="72"/>
  <c r="GW41" i="72"/>
  <c r="GX38" i="72"/>
  <c r="HA38" i="72" s="1"/>
  <c r="GS39" i="72"/>
  <c r="GS77" i="72"/>
  <c r="GT77" i="72"/>
  <c r="GT64" i="72"/>
  <c r="GT45" i="72"/>
  <c r="GT84" i="72"/>
  <c r="GT28" i="72"/>
  <c r="GT83" i="72"/>
  <c r="GS68" i="72"/>
  <c r="GT68" i="72"/>
  <c r="GS60" i="72"/>
  <c r="GT60" i="72"/>
  <c r="GS36" i="72"/>
  <c r="GS40" i="72"/>
  <c r="GS49" i="72"/>
  <c r="GT39" i="72"/>
  <c r="GS34" i="72"/>
  <c r="GT34" i="72"/>
  <c r="GS66" i="72"/>
  <c r="GT66" i="72"/>
  <c r="GS71" i="72"/>
  <c r="GT71" i="72"/>
  <c r="GX41" i="72"/>
  <c r="HA41" i="72" s="1"/>
  <c r="GT52" i="72"/>
  <c r="GS26" i="72"/>
  <c r="GT26" i="72"/>
  <c r="GS86" i="72"/>
  <c r="GS59" i="72"/>
  <c r="GS76" i="72"/>
  <c r="GT76" i="72"/>
  <c r="GS29" i="72"/>
  <c r="GS70" i="72"/>
  <c r="GS82" i="72"/>
  <c r="GT43" i="72"/>
  <c r="GS31" i="72"/>
  <c r="GZ57" i="72"/>
  <c r="FP52" i="72"/>
  <c r="FP30" i="72" s="1"/>
  <c r="BK40" i="72"/>
  <c r="CA40" i="72" s="1"/>
  <c r="FR54" i="72"/>
  <c r="FC13" i="72"/>
  <c r="HN27" i="106" l="1"/>
  <c r="HT27" i="106" s="1"/>
  <c r="HU27" i="106" s="1"/>
  <c r="HN82" i="106"/>
  <c r="HT82" i="106" s="1"/>
  <c r="HN53" i="106"/>
  <c r="HT53" i="106" s="1"/>
  <c r="HN36" i="106"/>
  <c r="HT36" i="106" s="1"/>
  <c r="HN55" i="106"/>
  <c r="HT55" i="106" s="1"/>
  <c r="HU55" i="106" s="1"/>
  <c r="HN26" i="106"/>
  <c r="HT26" i="106" s="1"/>
  <c r="HN42" i="106"/>
  <c r="HT42" i="106" s="1"/>
  <c r="HN49" i="106"/>
  <c r="HT49" i="106" s="1"/>
  <c r="HU49" i="106" s="1"/>
  <c r="HN43" i="106"/>
  <c r="HT43" i="106" s="1"/>
  <c r="HU43" i="106" s="1"/>
  <c r="HN32" i="106"/>
  <c r="HT32" i="106" s="1"/>
  <c r="HU32" i="106" s="1"/>
  <c r="HN61" i="106"/>
  <c r="HT61" i="106" s="1"/>
  <c r="HU61" i="106" s="1"/>
  <c r="HN75" i="106"/>
  <c r="HT75" i="106" s="1"/>
  <c r="HU75" i="106" s="1"/>
  <c r="HN41" i="106"/>
  <c r="HT41" i="106" s="1"/>
  <c r="HU41" i="106" s="1"/>
  <c r="HN71" i="106"/>
  <c r="HT71" i="106" s="1"/>
  <c r="HU71" i="106" s="1"/>
  <c r="HN35" i="106"/>
  <c r="HT35" i="106" s="1"/>
  <c r="HU35" i="106" s="1"/>
  <c r="HN51" i="106"/>
  <c r="HT51" i="106" s="1"/>
  <c r="HU51" i="106" s="1"/>
  <c r="HN79" i="106"/>
  <c r="HT79" i="106" s="1"/>
  <c r="HU79" i="106" s="1"/>
  <c r="HN67" i="106"/>
  <c r="HT67" i="106" s="1"/>
  <c r="HU67" i="106" s="1"/>
  <c r="HN38" i="106"/>
  <c r="HT38" i="106" s="1"/>
  <c r="HU38" i="106" s="1"/>
  <c r="HN76" i="106"/>
  <c r="HT76" i="106" s="1"/>
  <c r="HU76" i="106" s="1"/>
  <c r="HN47" i="106"/>
  <c r="HT47" i="106" s="1"/>
  <c r="HU47" i="106" s="1"/>
  <c r="HN62" i="106"/>
  <c r="HT62" i="106" s="1"/>
  <c r="HU62" i="106" s="1"/>
  <c r="HN40" i="106"/>
  <c r="HT40" i="106" s="1"/>
  <c r="HU40" i="106" s="1"/>
  <c r="HN81" i="106"/>
  <c r="HT81" i="106" s="1"/>
  <c r="HU81" i="106" s="1"/>
  <c r="HN37" i="106"/>
  <c r="HT37" i="106" s="1"/>
  <c r="HU37" i="106" s="1"/>
  <c r="GX70" i="72"/>
  <c r="HA70" i="72" s="1"/>
  <c r="GX36" i="72"/>
  <c r="HA36" i="72" s="1"/>
  <c r="GW36" i="72"/>
  <c r="GZ36" i="72" s="1"/>
  <c r="HN84" i="106"/>
  <c r="HT84" i="106" s="1"/>
  <c r="HU84" i="106" s="1"/>
  <c r="HN86" i="106"/>
  <c r="HT86" i="106" s="1"/>
  <c r="HU86" i="106" s="1"/>
  <c r="HN58" i="106"/>
  <c r="HT58" i="106" s="1"/>
  <c r="HU58" i="106" s="1"/>
  <c r="HN66" i="106"/>
  <c r="HT66" i="106" s="1"/>
  <c r="HU66" i="106" s="1"/>
  <c r="HN33" i="106"/>
  <c r="HT33" i="106" s="1"/>
  <c r="HU33" i="106" s="1"/>
  <c r="HN64" i="106"/>
  <c r="HT64" i="106" s="1"/>
  <c r="HU64" i="106" s="1"/>
  <c r="HN85" i="106"/>
  <c r="HT85" i="106" s="1"/>
  <c r="HU85" i="106" s="1"/>
  <c r="HN54" i="106"/>
  <c r="HT54" i="106" s="1"/>
  <c r="HU54" i="106" s="1"/>
  <c r="HN65" i="106"/>
  <c r="HT65" i="106" s="1"/>
  <c r="HU65" i="106" s="1"/>
  <c r="HN83" i="106"/>
  <c r="HT83" i="106" s="1"/>
  <c r="HU83" i="106" s="1"/>
  <c r="HU36" i="106"/>
  <c r="HU53" i="106"/>
  <c r="HU26" i="106"/>
  <c r="HU42" i="106"/>
  <c r="HU82" i="106"/>
  <c r="HN59" i="106"/>
  <c r="HT59" i="106" s="1"/>
  <c r="HN29" i="106"/>
  <c r="HT29" i="106" s="1"/>
  <c r="HN45" i="106"/>
  <c r="HT45" i="106" s="1"/>
  <c r="HU57" i="106"/>
  <c r="HN31" i="106"/>
  <c r="HT31" i="106" s="1"/>
  <c r="HN69" i="106"/>
  <c r="HT69" i="106" s="1"/>
  <c r="HN44" i="106"/>
  <c r="HT44" i="106" s="1"/>
  <c r="HU68" i="106"/>
  <c r="HN74" i="106"/>
  <c r="HT74" i="106" s="1"/>
  <c r="HN30" i="106"/>
  <c r="HT30" i="106" s="1"/>
  <c r="HU72" i="106"/>
  <c r="HN52" i="106"/>
  <c r="HT52" i="106" s="1"/>
  <c r="HN73" i="106"/>
  <c r="HT73" i="106" s="1"/>
  <c r="HN56" i="106"/>
  <c r="HT56" i="106" s="1"/>
  <c r="HU63" i="106"/>
  <c r="DC27" i="106"/>
  <c r="FR46" i="106" s="1"/>
  <c r="FP45" i="106"/>
  <c r="FP39" i="106" s="1"/>
  <c r="CV27" i="106"/>
  <c r="FP46" i="106" s="1"/>
  <c r="HN28" i="106"/>
  <c r="HT28" i="106" s="1"/>
  <c r="HN34" i="106"/>
  <c r="HT34" i="106" s="1"/>
  <c r="HN50" i="106"/>
  <c r="HT50" i="106" s="1"/>
  <c r="FP38" i="106"/>
  <c r="HN48" i="106"/>
  <c r="HT48" i="106" s="1"/>
  <c r="HN46" i="106"/>
  <c r="HT46" i="106" s="1"/>
  <c r="HU78" i="106"/>
  <c r="HN77" i="106"/>
  <c r="HT77" i="106" s="1"/>
  <c r="HN80" i="106"/>
  <c r="HT80" i="106" s="1"/>
  <c r="GX85" i="72"/>
  <c r="HA85" i="72" s="1"/>
  <c r="GX49" i="72"/>
  <c r="HA49" i="72" s="1"/>
  <c r="GW31" i="72"/>
  <c r="GW49" i="72"/>
  <c r="GZ49" i="72" s="1"/>
  <c r="GV59" i="72"/>
  <c r="GV49" i="72"/>
  <c r="GX31" i="72"/>
  <c r="HA31" i="72" s="1"/>
  <c r="HD57" i="72"/>
  <c r="GX79" i="72"/>
  <c r="HA79" i="72" s="1"/>
  <c r="GX40" i="72"/>
  <c r="HA40" i="72" s="1"/>
  <c r="HA57" i="72"/>
  <c r="HB57" i="72" s="1"/>
  <c r="HX57" i="72" s="1"/>
  <c r="GY57" i="72"/>
  <c r="GW40" i="72"/>
  <c r="HD40" i="72" s="1"/>
  <c r="GW86" i="72"/>
  <c r="GZ86" i="72" s="1"/>
  <c r="HB86" i="72" s="1"/>
  <c r="HX86" i="72" s="1"/>
  <c r="GW70" i="72"/>
  <c r="GY70" i="72" s="1"/>
  <c r="GW59" i="72"/>
  <c r="GZ59" i="72" s="1"/>
  <c r="HC57" i="72"/>
  <c r="GY65" i="72"/>
  <c r="GV47" i="72"/>
  <c r="GW79" i="72"/>
  <c r="FP49" i="72"/>
  <c r="BP50" i="72"/>
  <c r="FP56" i="72" s="1"/>
  <c r="GZ40" i="72"/>
  <c r="HB40" i="72" s="1"/>
  <c r="HX40" i="72" s="1"/>
  <c r="HB36" i="72"/>
  <c r="HX36" i="72" s="1"/>
  <c r="HD82" i="72"/>
  <c r="GW47" i="72"/>
  <c r="GZ47" i="72" s="1"/>
  <c r="HD29" i="72"/>
  <c r="HD38" i="72"/>
  <c r="FR49" i="72"/>
  <c r="BV50" i="72"/>
  <c r="HC41" i="72"/>
  <c r="GX59" i="72"/>
  <c r="CP33" i="72"/>
  <c r="CZ32" i="72" s="1"/>
  <c r="CU32" i="72"/>
  <c r="HA86" i="72"/>
  <c r="GX27" i="72"/>
  <c r="HA27" i="72" s="1"/>
  <c r="GV27" i="72"/>
  <c r="HD36" i="72"/>
  <c r="HC38" i="72"/>
  <c r="GV85" i="72"/>
  <c r="GZ41" i="72"/>
  <c r="HB41" i="72" s="1"/>
  <c r="HX41" i="72" s="1"/>
  <c r="GZ29" i="72"/>
  <c r="HB29" i="72" s="1"/>
  <c r="HX29" i="72" s="1"/>
  <c r="GZ70" i="72"/>
  <c r="HB70" i="72" s="1"/>
  <c r="HX70" i="72" s="1"/>
  <c r="GY41" i="72"/>
  <c r="HM37" i="73"/>
  <c r="HM54" i="73"/>
  <c r="HM74" i="73"/>
  <c r="HM47" i="73"/>
  <c r="HM82" i="73"/>
  <c r="HM66" i="73"/>
  <c r="HM40" i="73"/>
  <c r="HM57" i="73"/>
  <c r="HM28" i="73"/>
  <c r="HM78" i="73"/>
  <c r="HM69" i="73"/>
  <c r="HM46" i="73"/>
  <c r="HM34" i="73"/>
  <c r="HM84" i="73"/>
  <c r="HM53" i="73"/>
  <c r="HM33" i="73"/>
  <c r="HM86" i="73"/>
  <c r="HM44" i="73"/>
  <c r="HM71" i="73"/>
  <c r="HM51" i="73"/>
  <c r="HM45" i="73"/>
  <c r="HM65" i="73"/>
  <c r="HM26" i="73"/>
  <c r="HM63" i="73"/>
  <c r="HM35" i="73"/>
  <c r="CX6" i="73"/>
  <c r="HM32" i="73"/>
  <c r="HM27" i="73"/>
  <c r="HM79" i="73"/>
  <c r="HM31" i="73"/>
  <c r="ET24" i="73"/>
  <c r="HM43" i="73"/>
  <c r="HM62" i="73"/>
  <c r="HM36" i="73"/>
  <c r="HM64" i="73"/>
  <c r="HM58" i="73"/>
  <c r="HM42" i="73"/>
  <c r="HM49" i="73"/>
  <c r="HM38" i="73"/>
  <c r="HM60" i="73"/>
  <c r="HC82" i="72"/>
  <c r="GY82" i="72"/>
  <c r="HD67" i="72"/>
  <c r="GY31" i="72"/>
  <c r="GY29" i="72"/>
  <c r="GZ65" i="72"/>
  <c r="HB65" i="72" s="1"/>
  <c r="HX65" i="72" s="1"/>
  <c r="HC36" i="72"/>
  <c r="HG36" i="72" s="1"/>
  <c r="GZ27" i="72"/>
  <c r="HB27" i="72" s="1"/>
  <c r="HX27" i="72" s="1"/>
  <c r="GX58" i="72"/>
  <c r="GW58" i="72"/>
  <c r="HA82" i="72"/>
  <c r="HC65" i="72"/>
  <c r="HA47" i="72"/>
  <c r="GY36" i="72"/>
  <c r="GZ82" i="72"/>
  <c r="HB38" i="72"/>
  <c r="HX38" i="72" s="1"/>
  <c r="GZ67" i="72"/>
  <c r="HB67" i="72" s="1"/>
  <c r="HX67" i="72" s="1"/>
  <c r="HD65" i="72"/>
  <c r="HD70" i="72"/>
  <c r="HC70" i="72"/>
  <c r="CR48" i="72"/>
  <c r="BX48" i="72"/>
  <c r="HD41" i="72"/>
  <c r="HF41" i="72" s="1"/>
  <c r="HD42" i="72"/>
  <c r="GY38" i="72"/>
  <c r="HL67" i="73"/>
  <c r="HK67" i="73"/>
  <c r="HL68" i="73"/>
  <c r="HK68" i="73"/>
  <c r="HL70" i="73"/>
  <c r="HK70" i="73"/>
  <c r="HP80" i="73"/>
  <c r="HP37" i="73"/>
  <c r="HM67" i="73"/>
  <c r="HL56" i="73"/>
  <c r="HK56" i="73"/>
  <c r="HL61" i="73"/>
  <c r="HK61" i="73"/>
  <c r="HP26" i="73"/>
  <c r="HP86" i="73"/>
  <c r="HP77" i="73"/>
  <c r="HP54" i="73"/>
  <c r="HP31" i="73"/>
  <c r="HP76" i="73"/>
  <c r="HL50" i="73"/>
  <c r="HK50" i="73"/>
  <c r="HK41" i="73"/>
  <c r="HL41" i="73"/>
  <c r="HL36" i="73"/>
  <c r="HK36" i="73"/>
  <c r="HP73" i="73"/>
  <c r="HP68" i="73"/>
  <c r="HP70" i="73"/>
  <c r="HK80" i="73"/>
  <c r="HL80" i="73"/>
  <c r="HL37" i="73"/>
  <c r="HK37" i="73"/>
  <c r="HP47" i="73"/>
  <c r="HL62" i="73"/>
  <c r="HK62" i="73"/>
  <c r="HP74" i="73"/>
  <c r="HP61" i="73"/>
  <c r="HL26" i="73"/>
  <c r="HK26" i="73"/>
  <c r="HL71" i="73"/>
  <c r="HK71" i="73"/>
  <c r="HM56" i="73"/>
  <c r="HL77" i="73"/>
  <c r="HK77" i="73"/>
  <c r="HL54" i="73"/>
  <c r="HK54" i="73"/>
  <c r="HL31" i="73"/>
  <c r="HK31" i="73"/>
  <c r="HP58" i="73"/>
  <c r="HP42" i="73"/>
  <c r="HP63" i="73"/>
  <c r="HL34" i="73"/>
  <c r="HK34" i="73"/>
  <c r="HP36" i="73"/>
  <c r="HP53" i="73"/>
  <c r="HL83" i="73"/>
  <c r="HK83" i="73"/>
  <c r="HL82" i="73"/>
  <c r="HK82" i="73"/>
  <c r="HL32" i="73"/>
  <c r="HK32" i="73"/>
  <c r="HP38" i="73"/>
  <c r="HL35" i="73"/>
  <c r="HK35" i="73"/>
  <c r="HM76" i="73"/>
  <c r="HL47" i="73"/>
  <c r="HK47" i="73"/>
  <c r="HP62" i="73"/>
  <c r="HL74" i="73"/>
  <c r="HK74" i="73"/>
  <c r="HP65" i="73"/>
  <c r="HP72" i="73"/>
  <c r="HP71" i="73"/>
  <c r="HM77" i="73"/>
  <c r="HK57" i="73"/>
  <c r="HL57" i="73"/>
  <c r="HL58" i="73"/>
  <c r="HK58" i="73"/>
  <c r="HL42" i="73"/>
  <c r="HK42" i="73"/>
  <c r="HM41" i="73"/>
  <c r="HL81" i="73"/>
  <c r="HK81" i="73"/>
  <c r="HL86" i="73"/>
  <c r="HK86" i="73"/>
  <c r="HL53" i="73"/>
  <c r="HK53" i="73"/>
  <c r="HP83" i="73"/>
  <c r="HP66" i="73"/>
  <c r="HP82" i="73"/>
  <c r="HP32" i="73"/>
  <c r="HL38" i="73"/>
  <c r="HK38" i="73"/>
  <c r="HP35" i="73"/>
  <c r="HP33" i="73"/>
  <c r="HP79" i="73"/>
  <c r="HP27" i="73"/>
  <c r="HL65" i="73"/>
  <c r="HK65" i="73"/>
  <c r="HL72" i="73"/>
  <c r="HK72" i="73"/>
  <c r="HK51" i="73"/>
  <c r="HL51" i="73"/>
  <c r="HP57" i="73"/>
  <c r="EN24" i="73"/>
  <c r="HL85" i="73"/>
  <c r="HK85" i="73"/>
  <c r="HM30" i="73"/>
  <c r="HM85" i="73"/>
  <c r="HM83" i="73"/>
  <c r="HP55" i="73"/>
  <c r="HP64" i="73"/>
  <c r="HL73" i="73"/>
  <c r="HK73" i="73"/>
  <c r="HL60" i="73"/>
  <c r="HK60" i="73"/>
  <c r="HL66" i="73"/>
  <c r="HK66" i="73"/>
  <c r="HL29" i="73"/>
  <c r="HK29" i="73"/>
  <c r="HP46" i="73"/>
  <c r="HP43" i="73"/>
  <c r="HP52" i="73"/>
  <c r="HL33" i="73"/>
  <c r="HK33" i="73"/>
  <c r="HP48" i="73"/>
  <c r="HL79" i="73"/>
  <c r="HK79" i="73"/>
  <c r="HL27" i="73"/>
  <c r="HK27" i="73"/>
  <c r="HL84" i="73"/>
  <c r="HK84" i="73"/>
  <c r="HK40" i="73"/>
  <c r="HL40" i="73"/>
  <c r="HP45" i="73"/>
  <c r="HM29" i="73"/>
  <c r="HP51" i="73"/>
  <c r="HP44" i="73"/>
  <c r="FP58" i="73"/>
  <c r="CO6" i="73"/>
  <c r="CO7" i="73"/>
  <c r="CX7" i="73" s="1"/>
  <c r="FP35" i="73"/>
  <c r="HP85" i="73"/>
  <c r="HM72" i="73"/>
  <c r="HM73" i="73"/>
  <c r="HL39" i="73"/>
  <c r="HN39" i="73" s="1"/>
  <c r="HT39" i="73" s="1"/>
  <c r="HK39" i="73"/>
  <c r="HP41" i="73"/>
  <c r="HP60" i="73"/>
  <c r="HL46" i="73"/>
  <c r="HK46" i="73"/>
  <c r="HL43" i="73"/>
  <c r="HK43" i="73"/>
  <c r="HK75" i="73"/>
  <c r="HL75" i="73"/>
  <c r="HL52" i="73"/>
  <c r="HK52" i="73"/>
  <c r="HL48" i="73"/>
  <c r="HK48" i="73"/>
  <c r="HL30" i="73"/>
  <c r="HK30" i="73"/>
  <c r="HM61" i="73"/>
  <c r="HP84" i="73"/>
  <c r="HP40" i="73"/>
  <c r="HL45" i="73"/>
  <c r="HK45" i="73"/>
  <c r="HP49" i="73"/>
  <c r="HL44" i="73"/>
  <c r="HK44" i="73"/>
  <c r="HM55" i="73"/>
  <c r="HL59" i="73"/>
  <c r="HN59" i="73" s="1"/>
  <c r="HT59" i="73" s="1"/>
  <c r="HK59" i="73"/>
  <c r="HP28" i="73"/>
  <c r="HM52" i="73"/>
  <c r="HM50" i="73"/>
  <c r="HM70" i="73"/>
  <c r="HP69" i="73"/>
  <c r="HK78" i="73"/>
  <c r="HL78" i="73"/>
  <c r="HP56" i="73"/>
  <c r="HL76" i="73"/>
  <c r="HK76" i="73"/>
  <c r="HP29" i="73"/>
  <c r="HL63" i="73"/>
  <c r="HK63" i="73"/>
  <c r="HP81" i="73"/>
  <c r="HL69" i="73"/>
  <c r="HK69" i="73"/>
  <c r="HM80" i="73"/>
  <c r="HM75" i="73"/>
  <c r="HP50" i="73"/>
  <c r="HP75" i="73"/>
  <c r="HP78" i="73"/>
  <c r="HP34" i="73"/>
  <c r="HP30" i="73"/>
  <c r="HK55" i="73"/>
  <c r="HL55" i="73"/>
  <c r="HP39" i="73"/>
  <c r="HK49" i="73"/>
  <c r="HL49" i="73"/>
  <c r="HP67" i="73"/>
  <c r="HL64" i="73"/>
  <c r="HK64" i="73"/>
  <c r="HP59" i="73"/>
  <c r="HK28" i="73"/>
  <c r="HL28" i="73"/>
  <c r="HM48" i="73"/>
  <c r="HM81" i="73"/>
  <c r="HM68" i="73"/>
  <c r="GX32" i="72"/>
  <c r="GW32" i="72"/>
  <c r="GV32" i="72"/>
  <c r="GY67" i="72"/>
  <c r="GW26" i="72"/>
  <c r="GX26" i="72"/>
  <c r="GV26" i="72"/>
  <c r="GV34" i="72"/>
  <c r="GW34" i="72"/>
  <c r="GX34" i="72"/>
  <c r="GV68" i="72"/>
  <c r="GX68" i="72"/>
  <c r="GW68" i="72"/>
  <c r="GW69" i="72"/>
  <c r="GX69" i="72"/>
  <c r="GV69" i="72"/>
  <c r="GW46" i="72"/>
  <c r="GX46" i="72"/>
  <c r="GV46" i="72"/>
  <c r="GX56" i="72"/>
  <c r="GV56" i="72"/>
  <c r="GW56" i="72"/>
  <c r="GW37" i="72"/>
  <c r="GX37" i="72"/>
  <c r="GV37" i="72"/>
  <c r="GV64" i="72"/>
  <c r="GW64" i="72"/>
  <c r="GX64" i="72"/>
  <c r="GW33" i="72"/>
  <c r="GV33" i="72"/>
  <c r="GX33" i="72"/>
  <c r="GV77" i="72"/>
  <c r="GX77" i="72"/>
  <c r="GW77" i="72"/>
  <c r="GY42" i="72"/>
  <c r="HC29" i="72"/>
  <c r="HC42" i="72"/>
  <c r="HA42" i="72"/>
  <c r="HB42" i="72" s="1"/>
  <c r="HX42" i="72" s="1"/>
  <c r="HC67" i="72"/>
  <c r="GZ31" i="72"/>
  <c r="HB31" i="72" s="1"/>
  <c r="HX31" i="72" s="1"/>
  <c r="GW54" i="72"/>
  <c r="GX54" i="72"/>
  <c r="GV54" i="72"/>
  <c r="GV63" i="72"/>
  <c r="GW63" i="72"/>
  <c r="GX63" i="72"/>
  <c r="GX80" i="72"/>
  <c r="GW80" i="72"/>
  <c r="GV80" i="72"/>
  <c r="GX66" i="72"/>
  <c r="GW66" i="72"/>
  <c r="GV66" i="72"/>
  <c r="GV50" i="72"/>
  <c r="GW50" i="72"/>
  <c r="GX50" i="72"/>
  <c r="HB85" i="72"/>
  <c r="HX85" i="72" s="1"/>
  <c r="HC31" i="72"/>
  <c r="HD85" i="72"/>
  <c r="GV52" i="72"/>
  <c r="GX52" i="72"/>
  <c r="GW52" i="72"/>
  <c r="GW39" i="72"/>
  <c r="GV39" i="72"/>
  <c r="GX39" i="72"/>
  <c r="GW83" i="72"/>
  <c r="GV83" i="72"/>
  <c r="GX83" i="72"/>
  <c r="GX48" i="72"/>
  <c r="GV48" i="72"/>
  <c r="GW48" i="72"/>
  <c r="GW75" i="72"/>
  <c r="GX75" i="72"/>
  <c r="GV75" i="72"/>
  <c r="GV30" i="72"/>
  <c r="GX30" i="72"/>
  <c r="GW30" i="72"/>
  <c r="GW60" i="72"/>
  <c r="GV60" i="72"/>
  <c r="GX60" i="72"/>
  <c r="GW74" i="72"/>
  <c r="GX74" i="72"/>
  <c r="GV74" i="72"/>
  <c r="GW43" i="72"/>
  <c r="GX43" i="72"/>
  <c r="GV43" i="72"/>
  <c r="GW73" i="72"/>
  <c r="GX73" i="72"/>
  <c r="GV73" i="72"/>
  <c r="HD31" i="72"/>
  <c r="HC85" i="72"/>
  <c r="GX28" i="72"/>
  <c r="GW28" i="72"/>
  <c r="GV28" i="72"/>
  <c r="GX62" i="72"/>
  <c r="GV62" i="72"/>
  <c r="GW62" i="72"/>
  <c r="GX55" i="72"/>
  <c r="GW55" i="72"/>
  <c r="GV55" i="72"/>
  <c r="GW44" i="72"/>
  <c r="GV44" i="72"/>
  <c r="GX44" i="72"/>
  <c r="GX76" i="72"/>
  <c r="GV76" i="72"/>
  <c r="GW76" i="72"/>
  <c r="GX71" i="72"/>
  <c r="GV71" i="72"/>
  <c r="GW71" i="72"/>
  <c r="GV84" i="72"/>
  <c r="GX84" i="72"/>
  <c r="GW84" i="72"/>
  <c r="GX51" i="72"/>
  <c r="GV51" i="72"/>
  <c r="GW51" i="72"/>
  <c r="GX61" i="72"/>
  <c r="GW61" i="72"/>
  <c r="GV61" i="72"/>
  <c r="GV45" i="72"/>
  <c r="GW45" i="72"/>
  <c r="GX45" i="72"/>
  <c r="GX53" i="72"/>
  <c r="GW53" i="72"/>
  <c r="GV53" i="72"/>
  <c r="GV81" i="72"/>
  <c r="GW81" i="72"/>
  <c r="GX81" i="72"/>
  <c r="GW72" i="72"/>
  <c r="GV72" i="72"/>
  <c r="GX72" i="72"/>
  <c r="GV78" i="72"/>
  <c r="GX78" i="72"/>
  <c r="GW78" i="72"/>
  <c r="GV35" i="72"/>
  <c r="GX35" i="72"/>
  <c r="GW35" i="72"/>
  <c r="HF38" i="72"/>
  <c r="FP54" i="72"/>
  <c r="FP32" i="72" s="1"/>
  <c r="BH47" i="72"/>
  <c r="BY49" i="72" s="1"/>
  <c r="CR49" i="72" s="1"/>
  <c r="HE85" i="72" l="1"/>
  <c r="GY86" i="72"/>
  <c r="HB82" i="72"/>
  <c r="HX82" i="72" s="1"/>
  <c r="HD86" i="72"/>
  <c r="GY47" i="72"/>
  <c r="HC47" i="72"/>
  <c r="GY85" i="72"/>
  <c r="HB47" i="72"/>
  <c r="HX47" i="72" s="1"/>
  <c r="GY27" i="72"/>
  <c r="HC27" i="72"/>
  <c r="HF57" i="72"/>
  <c r="HH57" i="72" s="1"/>
  <c r="HG31" i="72"/>
  <c r="HH31" i="72" s="1"/>
  <c r="HC86" i="72"/>
  <c r="HG82" i="72"/>
  <c r="HC40" i="72"/>
  <c r="HU29" i="106"/>
  <c r="HU77" i="106"/>
  <c r="HU69" i="106"/>
  <c r="HU59" i="106"/>
  <c r="FP40" i="106"/>
  <c r="HU56" i="106"/>
  <c r="HV23" i="106"/>
  <c r="HV46" i="106" s="1"/>
  <c r="HZ46" i="106" s="1"/>
  <c r="HU73" i="106"/>
  <c r="HU31" i="106"/>
  <c r="HU52" i="106"/>
  <c r="HU50" i="106"/>
  <c r="HU46" i="106"/>
  <c r="HU34" i="106"/>
  <c r="HU48" i="106"/>
  <c r="HU80" i="106"/>
  <c r="HU30" i="106"/>
  <c r="HU44" i="106"/>
  <c r="HU28" i="106"/>
  <c r="HU74" i="106"/>
  <c r="HU45" i="106"/>
  <c r="HE38" i="72"/>
  <c r="HG38" i="72"/>
  <c r="HJ38" i="72" s="1"/>
  <c r="HF82" i="72"/>
  <c r="HI82" i="72" s="1"/>
  <c r="HN35" i="73"/>
  <c r="HT35" i="73" s="1"/>
  <c r="HN37" i="73"/>
  <c r="HT37" i="73" s="1"/>
  <c r="HN47" i="73"/>
  <c r="HT47" i="73" s="1"/>
  <c r="HG57" i="72"/>
  <c r="HN44" i="73"/>
  <c r="HT44" i="73" s="1"/>
  <c r="GY49" i="72"/>
  <c r="HB49" i="72"/>
  <c r="HX49" i="72" s="1"/>
  <c r="HE57" i="72"/>
  <c r="HC49" i="72"/>
  <c r="HD49" i="72"/>
  <c r="HC79" i="72"/>
  <c r="GY40" i="72"/>
  <c r="HC59" i="72"/>
  <c r="HF29" i="72"/>
  <c r="HG41" i="72"/>
  <c r="HI41" i="72" s="1"/>
  <c r="BM48" i="72"/>
  <c r="HF67" i="72"/>
  <c r="HE70" i="72"/>
  <c r="HF36" i="72"/>
  <c r="HH36" i="72" s="1"/>
  <c r="GY79" i="72"/>
  <c r="GZ79" i="72"/>
  <c r="HB79" i="72" s="1"/>
  <c r="HX79" i="72" s="1"/>
  <c r="HD79" i="72"/>
  <c r="FP27" i="72"/>
  <c r="HE86" i="72"/>
  <c r="HE65" i="72"/>
  <c r="HE36" i="72"/>
  <c r="HD27" i="72"/>
  <c r="HE27" i="72" s="1"/>
  <c r="HF70" i="72"/>
  <c r="HE41" i="72"/>
  <c r="HE29" i="72"/>
  <c r="HG29" i="72"/>
  <c r="HF85" i="72"/>
  <c r="HD47" i="72"/>
  <c r="CW10" i="72"/>
  <c r="CP10" i="72"/>
  <c r="CV19" i="72"/>
  <c r="DC19" i="72" s="1"/>
  <c r="FR56" i="72"/>
  <c r="FP34" i="72" s="1"/>
  <c r="CV18" i="72"/>
  <c r="CP11" i="72"/>
  <c r="CW11" i="72" s="1"/>
  <c r="DC18" i="72"/>
  <c r="HE31" i="72"/>
  <c r="FP50" i="72"/>
  <c r="CK38" i="72"/>
  <c r="HE42" i="72"/>
  <c r="HF65" i="72"/>
  <c r="HI65" i="72" s="1"/>
  <c r="CP38" i="72"/>
  <c r="FR53" i="72" s="1"/>
  <c r="FR50" i="72"/>
  <c r="HG70" i="72"/>
  <c r="GY59" i="72"/>
  <c r="HA59" i="72"/>
  <c r="HB59" i="72" s="1"/>
  <c r="HX59" i="72" s="1"/>
  <c r="HD59" i="72"/>
  <c r="HF86" i="72"/>
  <c r="HG65" i="72"/>
  <c r="HF31" i="72"/>
  <c r="HE82" i="72"/>
  <c r="HG42" i="72"/>
  <c r="HN54" i="73"/>
  <c r="HT54" i="73" s="1"/>
  <c r="HU54" i="73" s="1"/>
  <c r="HN74" i="73"/>
  <c r="HT74" i="73" s="1"/>
  <c r="HU74" i="73" s="1"/>
  <c r="HN66" i="73"/>
  <c r="HT66" i="73" s="1"/>
  <c r="HU66" i="73" s="1"/>
  <c r="HN46" i="73"/>
  <c r="HT46" i="73" s="1"/>
  <c r="HU46" i="73" s="1"/>
  <c r="HN82" i="73"/>
  <c r="HT82" i="73" s="1"/>
  <c r="HU82" i="73" s="1"/>
  <c r="HN36" i="73"/>
  <c r="HT36" i="73" s="1"/>
  <c r="HU36" i="73" s="1"/>
  <c r="HN40" i="73"/>
  <c r="HT40" i="73" s="1"/>
  <c r="HU40" i="73" s="1"/>
  <c r="HN53" i="73"/>
  <c r="HT53" i="73" s="1"/>
  <c r="HU53" i="73" s="1"/>
  <c r="HN26" i="73"/>
  <c r="HT26" i="73" s="1"/>
  <c r="HU26" i="73" s="1"/>
  <c r="HN78" i="73"/>
  <c r="HT78" i="73" s="1"/>
  <c r="HU78" i="73" s="1"/>
  <c r="HN69" i="73"/>
  <c r="HT69" i="73" s="1"/>
  <c r="HU69" i="73" s="1"/>
  <c r="HN51" i="73"/>
  <c r="HT51" i="73" s="1"/>
  <c r="HU51" i="73" s="1"/>
  <c r="HN57" i="73"/>
  <c r="HT57" i="73" s="1"/>
  <c r="HU57" i="73" s="1"/>
  <c r="HN28" i="73"/>
  <c r="HT28" i="73" s="1"/>
  <c r="HU28" i="73" s="1"/>
  <c r="HN33" i="73"/>
  <c r="HT33" i="73" s="1"/>
  <c r="HU33" i="73" s="1"/>
  <c r="HN34" i="73"/>
  <c r="HT34" i="73" s="1"/>
  <c r="HU34" i="73" s="1"/>
  <c r="HN76" i="73"/>
  <c r="HT76" i="73" s="1"/>
  <c r="HU76" i="73" s="1"/>
  <c r="HN64" i="73"/>
  <c r="HT64" i="73" s="1"/>
  <c r="HU64" i="73" s="1"/>
  <c r="HN31" i="73"/>
  <c r="HT31" i="73" s="1"/>
  <c r="HU31" i="73" s="1"/>
  <c r="DN6" i="73"/>
  <c r="FR43" i="73" s="1"/>
  <c r="HN84" i="73"/>
  <c r="HT84" i="73" s="1"/>
  <c r="HU84" i="73" s="1"/>
  <c r="HN65" i="73"/>
  <c r="HT65" i="73" s="1"/>
  <c r="HU65" i="73" s="1"/>
  <c r="HN86" i="73"/>
  <c r="HT86" i="73" s="1"/>
  <c r="HU86" i="73" s="1"/>
  <c r="HN63" i="73"/>
  <c r="HT63" i="73" s="1"/>
  <c r="HU63" i="73" s="1"/>
  <c r="HN43" i="73"/>
  <c r="HT43" i="73" s="1"/>
  <c r="HU43" i="73" s="1"/>
  <c r="HN71" i="73"/>
  <c r="HT71" i="73" s="1"/>
  <c r="HU71" i="73" s="1"/>
  <c r="HN45" i="73"/>
  <c r="HT45" i="73" s="1"/>
  <c r="HU45" i="73" s="1"/>
  <c r="HN32" i="73"/>
  <c r="HT32" i="73" s="1"/>
  <c r="HU32" i="73" s="1"/>
  <c r="HN79" i="73"/>
  <c r="HT79" i="73" s="1"/>
  <c r="HU79" i="73" s="1"/>
  <c r="HN42" i="73"/>
  <c r="HT42" i="73" s="1"/>
  <c r="HU42" i="73" s="1"/>
  <c r="HN27" i="73"/>
  <c r="HT27" i="73" s="1"/>
  <c r="HU27" i="73" s="1"/>
  <c r="HN85" i="73"/>
  <c r="HT85" i="73" s="1"/>
  <c r="HU85" i="73" s="1"/>
  <c r="HN62" i="73"/>
  <c r="HT62" i="73" s="1"/>
  <c r="HU62" i="73" s="1"/>
  <c r="HN49" i="73"/>
  <c r="HT49" i="73" s="1"/>
  <c r="HU49" i="73" s="1"/>
  <c r="HN48" i="73"/>
  <c r="HT48" i="73" s="1"/>
  <c r="HU48" i="73" s="1"/>
  <c r="HN55" i="73"/>
  <c r="HT55" i="73" s="1"/>
  <c r="HU55" i="73" s="1"/>
  <c r="HN58" i="73"/>
  <c r="HT58" i="73" s="1"/>
  <c r="HU58" i="73" s="1"/>
  <c r="HN30" i="73"/>
  <c r="HT30" i="73" s="1"/>
  <c r="HU30" i="73" s="1"/>
  <c r="HN75" i="73"/>
  <c r="HT75" i="73" s="1"/>
  <c r="HU75" i="73" s="1"/>
  <c r="HN60" i="73"/>
  <c r="HT60" i="73" s="1"/>
  <c r="HU60" i="73" s="1"/>
  <c r="DH6" i="73"/>
  <c r="HN38" i="73"/>
  <c r="HT38" i="73" s="1"/>
  <c r="HU38" i="73" s="1"/>
  <c r="HJ57" i="72"/>
  <c r="HJ36" i="72"/>
  <c r="BH48" i="72"/>
  <c r="FP57" i="72" s="1"/>
  <c r="HC58" i="72"/>
  <c r="GY58" i="72"/>
  <c r="GZ58" i="72"/>
  <c r="HA58" i="72"/>
  <c r="HD58" i="72"/>
  <c r="HF42" i="72"/>
  <c r="HI42" i="72" s="1"/>
  <c r="HI38" i="72"/>
  <c r="HJ82" i="72"/>
  <c r="HG85" i="72"/>
  <c r="HN41" i="73"/>
  <c r="HT41" i="73" s="1"/>
  <c r="HU47" i="73"/>
  <c r="HN61" i="73"/>
  <c r="HT61" i="73" s="1"/>
  <c r="HU39" i="73"/>
  <c r="FP36" i="73"/>
  <c r="FP48" i="73"/>
  <c r="FP26" i="73" s="1"/>
  <c r="HN70" i="73"/>
  <c r="HT70" i="73" s="1"/>
  <c r="HU59" i="73"/>
  <c r="HN73" i="73"/>
  <c r="HT73" i="73" s="1"/>
  <c r="HN72" i="73"/>
  <c r="HT72" i="73" s="1"/>
  <c r="HN50" i="73"/>
  <c r="HT50" i="73" s="1"/>
  <c r="HN56" i="73"/>
  <c r="HT56" i="73" s="1"/>
  <c r="HU35" i="73"/>
  <c r="HN83" i="73"/>
  <c r="HT83" i="73" s="1"/>
  <c r="HN68" i="73"/>
  <c r="HT68" i="73" s="1"/>
  <c r="HN29" i="73"/>
  <c r="HT29" i="73" s="1"/>
  <c r="HN81" i="73"/>
  <c r="HT81" i="73" s="1"/>
  <c r="HU37" i="73"/>
  <c r="HU44" i="73"/>
  <c r="HN52" i="73"/>
  <c r="HT52" i="73" s="1"/>
  <c r="HN77" i="73"/>
  <c r="HT77" i="73" s="1"/>
  <c r="HN80" i="73"/>
  <c r="HT80" i="73" s="1"/>
  <c r="HN67" i="73"/>
  <c r="HT67" i="73" s="1"/>
  <c r="GZ35" i="72"/>
  <c r="GY35" i="72"/>
  <c r="HC35" i="72"/>
  <c r="HA60" i="72"/>
  <c r="HD60" i="72"/>
  <c r="HA37" i="72"/>
  <c r="HD37" i="72"/>
  <c r="HA35" i="72"/>
  <c r="HD35" i="72"/>
  <c r="HD44" i="72"/>
  <c r="HA44" i="72"/>
  <c r="HC48" i="72"/>
  <c r="GZ48" i="72"/>
  <c r="GY48" i="72"/>
  <c r="HC45" i="72"/>
  <c r="GY45" i="72"/>
  <c r="GZ45" i="72"/>
  <c r="HC75" i="72"/>
  <c r="GY75" i="72"/>
  <c r="GZ75" i="72"/>
  <c r="HA81" i="72"/>
  <c r="HD81" i="72"/>
  <c r="HD62" i="72"/>
  <c r="HA62" i="72"/>
  <c r="HC73" i="72"/>
  <c r="GY73" i="72"/>
  <c r="GZ73" i="72"/>
  <c r="GY39" i="72"/>
  <c r="HC39" i="72"/>
  <c r="GZ39" i="72"/>
  <c r="GY50" i="72"/>
  <c r="GZ50" i="72"/>
  <c r="HC50" i="72"/>
  <c r="HD63" i="72"/>
  <c r="HA63" i="72"/>
  <c r="HD33" i="72"/>
  <c r="HA33" i="72"/>
  <c r="GY37" i="72"/>
  <c r="GZ37" i="72"/>
  <c r="HC37" i="72"/>
  <c r="HA69" i="72"/>
  <c r="HD69" i="72"/>
  <c r="GY81" i="72"/>
  <c r="HC81" i="72"/>
  <c r="GZ81" i="72"/>
  <c r="HC60" i="72"/>
  <c r="GZ60" i="72"/>
  <c r="GY60" i="72"/>
  <c r="HC52" i="72"/>
  <c r="GY52" i="72"/>
  <c r="GZ52" i="72"/>
  <c r="GZ63" i="72"/>
  <c r="GY63" i="72"/>
  <c r="HC63" i="72"/>
  <c r="GY56" i="72"/>
  <c r="GZ56" i="72"/>
  <c r="HC56" i="72"/>
  <c r="GZ69" i="72"/>
  <c r="HC69" i="72"/>
  <c r="GY69" i="72"/>
  <c r="HD26" i="72"/>
  <c r="HA26" i="72"/>
  <c r="HA73" i="72"/>
  <c r="HD73" i="72"/>
  <c r="HD80" i="72"/>
  <c r="HA80" i="72"/>
  <c r="HA84" i="72"/>
  <c r="HD84" i="72"/>
  <c r="HC78" i="72"/>
  <c r="GY78" i="72"/>
  <c r="GZ78" i="72"/>
  <c r="GZ61" i="72"/>
  <c r="HC61" i="72"/>
  <c r="GY61" i="72"/>
  <c r="GZ71" i="72"/>
  <c r="GY71" i="72"/>
  <c r="HC71" i="72"/>
  <c r="HC44" i="72"/>
  <c r="GZ44" i="72"/>
  <c r="GY44" i="72"/>
  <c r="GZ28" i="72"/>
  <c r="GY28" i="72"/>
  <c r="HC28" i="72"/>
  <c r="HA43" i="72"/>
  <c r="HD43" i="72"/>
  <c r="HC30" i="72"/>
  <c r="GZ30" i="72"/>
  <c r="GY30" i="72"/>
  <c r="HA48" i="72"/>
  <c r="HD48" i="72"/>
  <c r="HD52" i="72"/>
  <c r="HA52" i="72"/>
  <c r="GY33" i="72"/>
  <c r="HC33" i="72"/>
  <c r="GZ33" i="72"/>
  <c r="HC68" i="72"/>
  <c r="GZ68" i="72"/>
  <c r="GY68" i="72"/>
  <c r="GZ26" i="72"/>
  <c r="GY26" i="72"/>
  <c r="HC26" i="72"/>
  <c r="HF26" i="72" s="1"/>
  <c r="GY72" i="72"/>
  <c r="GZ72" i="72"/>
  <c r="HC72" i="72"/>
  <c r="HD50" i="72"/>
  <c r="HA50" i="72"/>
  <c r="HG67" i="72"/>
  <c r="HA78" i="72"/>
  <c r="HD78" i="72"/>
  <c r="HA61" i="72"/>
  <c r="HD61" i="72"/>
  <c r="HA28" i="72"/>
  <c r="HD28" i="72"/>
  <c r="GY43" i="72"/>
  <c r="HC43" i="72"/>
  <c r="GZ43" i="72"/>
  <c r="HB43" i="72" s="1"/>
  <c r="HX43" i="72" s="1"/>
  <c r="HD30" i="72"/>
  <c r="HA30" i="72"/>
  <c r="HA83" i="72"/>
  <c r="HD83" i="72"/>
  <c r="HC66" i="72"/>
  <c r="GY66" i="72"/>
  <c r="GZ66" i="72"/>
  <c r="HD64" i="72"/>
  <c r="HA64" i="72"/>
  <c r="HD56" i="72"/>
  <c r="HA56" i="72"/>
  <c r="HA68" i="72"/>
  <c r="HD68" i="72"/>
  <c r="GY84" i="72"/>
  <c r="GZ84" i="72"/>
  <c r="HC84" i="72"/>
  <c r="HE67" i="72"/>
  <c r="GY53" i="72"/>
  <c r="HC53" i="72"/>
  <c r="GZ53" i="72"/>
  <c r="HA71" i="72"/>
  <c r="HD71" i="72"/>
  <c r="HA66" i="72"/>
  <c r="HD66" i="72"/>
  <c r="GY64" i="72"/>
  <c r="HC64" i="72"/>
  <c r="GZ64" i="72"/>
  <c r="HA76" i="72"/>
  <c r="HD76" i="72"/>
  <c r="HC51" i="72"/>
  <c r="GZ51" i="72"/>
  <c r="GY51" i="72"/>
  <c r="GY55" i="72"/>
  <c r="HC55" i="72"/>
  <c r="GZ55" i="72"/>
  <c r="HD54" i="72"/>
  <c r="HA54" i="72"/>
  <c r="HA72" i="72"/>
  <c r="HD72" i="72"/>
  <c r="HA53" i="72"/>
  <c r="HD53" i="72"/>
  <c r="GY76" i="72"/>
  <c r="GZ76" i="72"/>
  <c r="HC76" i="72"/>
  <c r="HA55" i="72"/>
  <c r="HD55" i="72"/>
  <c r="HD74" i="72"/>
  <c r="HA74" i="72"/>
  <c r="HC83" i="72"/>
  <c r="GY83" i="72"/>
  <c r="GZ83" i="72"/>
  <c r="HB83" i="72" s="1"/>
  <c r="HX83" i="72" s="1"/>
  <c r="HC54" i="72"/>
  <c r="GY54" i="72"/>
  <c r="GZ54" i="72"/>
  <c r="HC77" i="72"/>
  <c r="GY77" i="72"/>
  <c r="GZ77" i="72"/>
  <c r="HD46" i="72"/>
  <c r="HA46" i="72"/>
  <c r="HA34" i="72"/>
  <c r="HD34" i="72"/>
  <c r="GY32" i="72"/>
  <c r="HC32" i="72"/>
  <c r="GZ32" i="72"/>
  <c r="HD45" i="72"/>
  <c r="HA45" i="72"/>
  <c r="HA51" i="72"/>
  <c r="HD51" i="72"/>
  <c r="HC62" i="72"/>
  <c r="GY62" i="72"/>
  <c r="GZ62" i="72"/>
  <c r="GZ74" i="72"/>
  <c r="HB74" i="72" s="1"/>
  <c r="HX74" i="72" s="1"/>
  <c r="GY74" i="72"/>
  <c r="HC74" i="72"/>
  <c r="HA75" i="72"/>
  <c r="HD75" i="72"/>
  <c r="HD39" i="72"/>
  <c r="HA39" i="72"/>
  <c r="HC80" i="72"/>
  <c r="GY80" i="72"/>
  <c r="GZ80" i="72"/>
  <c r="HD77" i="72"/>
  <c r="HA77" i="72"/>
  <c r="GY46" i="72"/>
  <c r="GZ46" i="72"/>
  <c r="HC46" i="72"/>
  <c r="GZ34" i="72"/>
  <c r="GY34" i="72"/>
  <c r="HC34" i="72"/>
  <c r="HD32" i="72"/>
  <c r="HA32" i="72"/>
  <c r="HH41" i="72"/>
  <c r="HH82" i="72"/>
  <c r="HH38" i="72"/>
  <c r="HH65" i="72"/>
  <c r="FR57" i="72"/>
  <c r="HV44" i="106" l="1"/>
  <c r="HZ44" i="106" s="1"/>
  <c r="HV28" i="106"/>
  <c r="HZ28" i="106" s="1"/>
  <c r="HV50" i="106"/>
  <c r="HZ50" i="106" s="1"/>
  <c r="HV74" i="106"/>
  <c r="HZ74" i="106" s="1"/>
  <c r="HI57" i="72"/>
  <c r="HG78" i="72"/>
  <c r="HJ41" i="72"/>
  <c r="HE40" i="72"/>
  <c r="HG40" i="72"/>
  <c r="HF40" i="72"/>
  <c r="HJ67" i="72"/>
  <c r="HL82" i="72"/>
  <c r="HJ31" i="72"/>
  <c r="HB84" i="72"/>
  <c r="HX84" i="72" s="1"/>
  <c r="HG86" i="72"/>
  <c r="HJ86" i="72" s="1"/>
  <c r="HV34" i="106"/>
  <c r="HZ34" i="106" s="1"/>
  <c r="HY23" i="106"/>
  <c r="HV70" i="106"/>
  <c r="HZ70" i="106" s="1"/>
  <c r="HV39" i="106"/>
  <c r="HZ39" i="106" s="1"/>
  <c r="HV60" i="106"/>
  <c r="HZ60" i="106" s="1"/>
  <c r="HV55" i="106"/>
  <c r="HZ55" i="106" s="1"/>
  <c r="HV79" i="106"/>
  <c r="HZ79" i="106" s="1"/>
  <c r="HV76" i="106"/>
  <c r="HZ76" i="106" s="1"/>
  <c r="HV65" i="106"/>
  <c r="HZ65" i="106" s="1"/>
  <c r="HV61" i="106"/>
  <c r="HZ61" i="106" s="1"/>
  <c r="HV54" i="106"/>
  <c r="HZ54" i="106" s="1"/>
  <c r="HV83" i="106"/>
  <c r="HZ83" i="106" s="1"/>
  <c r="HV81" i="106"/>
  <c r="HZ81" i="106" s="1"/>
  <c r="HV49" i="106"/>
  <c r="HZ49" i="106" s="1"/>
  <c r="HV36" i="106"/>
  <c r="HZ36" i="106" s="1"/>
  <c r="HV26" i="106"/>
  <c r="HZ26" i="106" s="1"/>
  <c r="HV41" i="106"/>
  <c r="HZ41" i="106" s="1"/>
  <c r="HV84" i="106"/>
  <c r="HZ84" i="106" s="1"/>
  <c r="HV57" i="106"/>
  <c r="HZ57" i="106" s="1"/>
  <c r="HV64" i="106"/>
  <c r="HZ64" i="106" s="1"/>
  <c r="HV58" i="106"/>
  <c r="HZ58" i="106" s="1"/>
  <c r="HV72" i="106"/>
  <c r="HZ72" i="106" s="1"/>
  <c r="HV32" i="106"/>
  <c r="HZ32" i="106" s="1"/>
  <c r="HV86" i="106"/>
  <c r="HZ86" i="106" s="1"/>
  <c r="HV53" i="106"/>
  <c r="HZ53" i="106" s="1"/>
  <c r="HV43" i="106"/>
  <c r="HZ43" i="106" s="1"/>
  <c r="HV68" i="106"/>
  <c r="HZ68" i="106" s="1"/>
  <c r="HV37" i="106"/>
  <c r="HZ37" i="106" s="1"/>
  <c r="HV62" i="106"/>
  <c r="HZ62" i="106" s="1"/>
  <c r="HV42" i="106"/>
  <c r="HZ42" i="106" s="1"/>
  <c r="HV35" i="106"/>
  <c r="HZ35" i="106" s="1"/>
  <c r="HV71" i="106"/>
  <c r="HZ71" i="106" s="1"/>
  <c r="HV47" i="106"/>
  <c r="HZ47" i="106" s="1"/>
  <c r="HV82" i="106"/>
  <c r="HZ82" i="106" s="1"/>
  <c r="HV40" i="106"/>
  <c r="HZ40" i="106" s="1"/>
  <c r="HV85" i="106"/>
  <c r="HZ85" i="106" s="1"/>
  <c r="HV78" i="106"/>
  <c r="HZ78" i="106" s="1"/>
  <c r="HV27" i="106"/>
  <c r="HZ27" i="106" s="1"/>
  <c r="HV66" i="106"/>
  <c r="HZ66" i="106" s="1"/>
  <c r="HV67" i="106"/>
  <c r="HZ67" i="106" s="1"/>
  <c r="HV63" i="106"/>
  <c r="HZ63" i="106" s="1"/>
  <c r="HV38" i="106"/>
  <c r="HZ38" i="106" s="1"/>
  <c r="HV33" i="106"/>
  <c r="HZ33" i="106" s="1"/>
  <c r="HV51" i="106"/>
  <c r="HZ51" i="106" s="1"/>
  <c r="HV75" i="106"/>
  <c r="HZ75" i="106" s="1"/>
  <c r="HV56" i="106"/>
  <c r="HZ56" i="106" s="1"/>
  <c r="HV59" i="106"/>
  <c r="HZ59" i="106" s="1"/>
  <c r="HV52" i="106"/>
  <c r="HZ52" i="106" s="1"/>
  <c r="HV30" i="106"/>
  <c r="HZ30" i="106" s="1"/>
  <c r="HV69" i="106"/>
  <c r="HZ69" i="106" s="1"/>
  <c r="HV77" i="106"/>
  <c r="HZ77" i="106" s="1"/>
  <c r="HV80" i="106"/>
  <c r="HZ80" i="106" s="1"/>
  <c r="HV31" i="106"/>
  <c r="HZ31" i="106" s="1"/>
  <c r="HV48" i="106"/>
  <c r="HZ48" i="106" s="1"/>
  <c r="HV29" i="106"/>
  <c r="HZ29" i="106" s="1"/>
  <c r="HV45" i="106"/>
  <c r="HZ45" i="106" s="1"/>
  <c r="HV73" i="106"/>
  <c r="HZ73" i="106" s="1"/>
  <c r="HE49" i="72"/>
  <c r="HF49" i="72"/>
  <c r="HI31" i="72"/>
  <c r="HG49" i="72"/>
  <c r="HH85" i="72"/>
  <c r="HJ29" i="72"/>
  <c r="HI29" i="72"/>
  <c r="HJ85" i="72"/>
  <c r="HJ70" i="72"/>
  <c r="HI70" i="72"/>
  <c r="HL70" i="72" s="1"/>
  <c r="HI36" i="72"/>
  <c r="HL36" i="72" s="1"/>
  <c r="HH86" i="72"/>
  <c r="HO86" i="72" s="1"/>
  <c r="HH70" i="72"/>
  <c r="HO70" i="72" s="1"/>
  <c r="HM41" i="72"/>
  <c r="HG27" i="72"/>
  <c r="HF79" i="72"/>
  <c r="HE79" i="72"/>
  <c r="HG79" i="72"/>
  <c r="HG56" i="72"/>
  <c r="HF27" i="72"/>
  <c r="HB69" i="72"/>
  <c r="HX69" i="72" s="1"/>
  <c r="HG73" i="72"/>
  <c r="HB37" i="72"/>
  <c r="HX37" i="72" s="1"/>
  <c r="HH29" i="72"/>
  <c r="HG47" i="72"/>
  <c r="HE47" i="72"/>
  <c r="HF47" i="72"/>
  <c r="HB34" i="72"/>
  <c r="HX34" i="72" s="1"/>
  <c r="HG72" i="72"/>
  <c r="HJ65" i="72"/>
  <c r="HL65" i="72" s="1"/>
  <c r="FP28" i="72"/>
  <c r="HG71" i="72"/>
  <c r="HG48" i="72"/>
  <c r="HG39" i="72"/>
  <c r="HM57" i="72"/>
  <c r="HB54" i="72"/>
  <c r="HX54" i="72" s="1"/>
  <c r="DR18" i="72"/>
  <c r="DL18" i="72"/>
  <c r="HG59" i="72"/>
  <c r="HE59" i="72"/>
  <c r="HF59" i="72"/>
  <c r="BT56" i="72"/>
  <c r="AZ56" i="72"/>
  <c r="BC57" i="72"/>
  <c r="BV57" i="72" s="1"/>
  <c r="FP53" i="72"/>
  <c r="FP31" i="72" s="1"/>
  <c r="DF10" i="72"/>
  <c r="DM10" i="72"/>
  <c r="HG75" i="72"/>
  <c r="HL41" i="72"/>
  <c r="HN41" i="72" s="1"/>
  <c r="HT41" i="72" s="1"/>
  <c r="HU41" i="72" s="1"/>
  <c r="HH67" i="72"/>
  <c r="HO67" i="72" s="1"/>
  <c r="HP67" i="72" s="1"/>
  <c r="HG58" i="72"/>
  <c r="FC4" i="73"/>
  <c r="FC16" i="73" s="1"/>
  <c r="CP13" i="73"/>
  <c r="FP44" i="73" s="1"/>
  <c r="CW13" i="73"/>
  <c r="FR44" i="73" s="1"/>
  <c r="ES29" i="73"/>
  <c r="EN29" i="73"/>
  <c r="FP43" i="73"/>
  <c r="FP37" i="73" s="1"/>
  <c r="HG76" i="72"/>
  <c r="HG68" i="72"/>
  <c r="HG28" i="72"/>
  <c r="HG50" i="72"/>
  <c r="HG32" i="72"/>
  <c r="HG77" i="72"/>
  <c r="HB58" i="72"/>
  <c r="HX58" i="72" s="1"/>
  <c r="HI67" i="72"/>
  <c r="HF58" i="72"/>
  <c r="HE58" i="72"/>
  <c r="HB33" i="72"/>
  <c r="HX33" i="72" s="1"/>
  <c r="HB60" i="72"/>
  <c r="HX60" i="72" s="1"/>
  <c r="HK41" i="72"/>
  <c r="HO57" i="72"/>
  <c r="HO65" i="72"/>
  <c r="HH42" i="72"/>
  <c r="HB80" i="72"/>
  <c r="HX80" i="72" s="1"/>
  <c r="HO38" i="72"/>
  <c r="HP38" i="72" s="1"/>
  <c r="HO36" i="72"/>
  <c r="HO41" i="72"/>
  <c r="HG66" i="72"/>
  <c r="HB63" i="72"/>
  <c r="HX63" i="72" s="1"/>
  <c r="HJ42" i="72"/>
  <c r="HL42" i="72" s="1"/>
  <c r="HO31" i="72"/>
  <c r="HG52" i="72"/>
  <c r="HM38" i="72"/>
  <c r="HL38" i="72"/>
  <c r="HK38" i="72"/>
  <c r="HO29" i="72"/>
  <c r="HP29" i="72" s="1"/>
  <c r="HO85" i="72"/>
  <c r="HO82" i="72"/>
  <c r="HP82" i="72" s="1"/>
  <c r="HB76" i="72"/>
  <c r="HX76" i="72" s="1"/>
  <c r="HB55" i="72"/>
  <c r="HX55" i="72" s="1"/>
  <c r="HB64" i="72"/>
  <c r="HX64" i="72" s="1"/>
  <c r="HG61" i="72"/>
  <c r="HB72" i="72"/>
  <c r="HX72" i="72" s="1"/>
  <c r="HB30" i="72"/>
  <c r="HX30" i="72" s="1"/>
  <c r="HB44" i="72"/>
  <c r="HX44" i="72" s="1"/>
  <c r="HB78" i="72"/>
  <c r="HX78" i="72" s="1"/>
  <c r="HB50" i="72"/>
  <c r="HX50" i="72" s="1"/>
  <c r="HL57" i="72"/>
  <c r="HK57" i="72"/>
  <c r="HG46" i="72"/>
  <c r="HG62" i="72"/>
  <c r="HK82" i="72"/>
  <c r="HM82" i="72"/>
  <c r="HN82" i="72" s="1"/>
  <c r="HT82" i="72" s="1"/>
  <c r="HB81" i="72"/>
  <c r="HX81" i="72" s="1"/>
  <c r="HI85" i="72"/>
  <c r="HM85" i="72" s="1"/>
  <c r="HU29" i="73"/>
  <c r="HU56" i="73"/>
  <c r="HV23" i="73"/>
  <c r="HV72" i="73" s="1"/>
  <c r="HZ72" i="73" s="1"/>
  <c r="HU72" i="73"/>
  <c r="HU83" i="73"/>
  <c r="HU50" i="73"/>
  <c r="HU73" i="73"/>
  <c r="HU67" i="73"/>
  <c r="HU68" i="73"/>
  <c r="HU80" i="73"/>
  <c r="HU41" i="73"/>
  <c r="HU77" i="73"/>
  <c r="HU81" i="73"/>
  <c r="HU70" i="73"/>
  <c r="HU61" i="73"/>
  <c r="HU52" i="73"/>
  <c r="HF34" i="72"/>
  <c r="HE34" i="72"/>
  <c r="HG45" i="72"/>
  <c r="HB77" i="72"/>
  <c r="HX77" i="72" s="1"/>
  <c r="HE83" i="72"/>
  <c r="HF83" i="72"/>
  <c r="HG53" i="72"/>
  <c r="HG30" i="72"/>
  <c r="HE26" i="72"/>
  <c r="HG43" i="72"/>
  <c r="HF71" i="72"/>
  <c r="HE71" i="72"/>
  <c r="HE78" i="72"/>
  <c r="HF78" i="72"/>
  <c r="HG26" i="72"/>
  <c r="HJ26" i="72" s="1"/>
  <c r="HB39" i="72"/>
  <c r="HX39" i="72" s="1"/>
  <c r="HG81" i="72"/>
  <c r="HF53" i="72"/>
  <c r="HE53" i="72"/>
  <c r="HE44" i="72"/>
  <c r="HF44" i="72"/>
  <c r="HE63" i="72"/>
  <c r="HF63" i="72"/>
  <c r="HE45" i="72"/>
  <c r="HF45" i="72"/>
  <c r="HB32" i="72"/>
  <c r="HX32" i="72" s="1"/>
  <c r="HF84" i="72"/>
  <c r="HE84" i="72"/>
  <c r="HG64" i="72"/>
  <c r="HG84" i="72"/>
  <c r="HE81" i="72"/>
  <c r="HF81" i="72"/>
  <c r="HE39" i="72"/>
  <c r="HF39" i="72"/>
  <c r="HB48" i="72"/>
  <c r="HX48" i="72" s="1"/>
  <c r="HG60" i="72"/>
  <c r="HF55" i="72"/>
  <c r="HE55" i="72"/>
  <c r="HE30" i="72"/>
  <c r="HF30" i="72"/>
  <c r="HI30" i="72" s="1"/>
  <c r="HG37" i="72"/>
  <c r="FP35" i="72"/>
  <c r="HF80" i="72"/>
  <c r="HE80" i="72"/>
  <c r="HB62" i="72"/>
  <c r="HX62" i="72" s="1"/>
  <c r="HE32" i="72"/>
  <c r="HF32" i="72"/>
  <c r="HF77" i="72"/>
  <c r="HE77" i="72"/>
  <c r="HG74" i="72"/>
  <c r="HB51" i="72"/>
  <c r="HX51" i="72" s="1"/>
  <c r="HB66" i="72"/>
  <c r="HX66" i="72" s="1"/>
  <c r="HF43" i="72"/>
  <c r="HE43" i="72"/>
  <c r="HB26" i="72"/>
  <c r="HX26" i="72" s="1"/>
  <c r="HE28" i="72"/>
  <c r="HF28" i="72"/>
  <c r="HB71" i="72"/>
  <c r="HX71" i="72" s="1"/>
  <c r="HF69" i="72"/>
  <c r="HE69" i="72"/>
  <c r="HB52" i="72"/>
  <c r="HX52" i="72" s="1"/>
  <c r="HG33" i="72"/>
  <c r="HB75" i="72"/>
  <c r="HX75" i="72" s="1"/>
  <c r="HF48" i="72"/>
  <c r="HJ48" i="72" s="1"/>
  <c r="HE48" i="72"/>
  <c r="HE74" i="72"/>
  <c r="HF74" i="72"/>
  <c r="HF46" i="72"/>
  <c r="HE46" i="72"/>
  <c r="HG55" i="72"/>
  <c r="HE51" i="72"/>
  <c r="HF51" i="72"/>
  <c r="HB73" i="72"/>
  <c r="HX73" i="72" s="1"/>
  <c r="HE35" i="72"/>
  <c r="HF35" i="72"/>
  <c r="HE37" i="72"/>
  <c r="HF37" i="72"/>
  <c r="HF33" i="72"/>
  <c r="HE33" i="72"/>
  <c r="HF60" i="72"/>
  <c r="HE60" i="72"/>
  <c r="HB46" i="72"/>
  <c r="HX46" i="72" s="1"/>
  <c r="HF62" i="72"/>
  <c r="HE62" i="72"/>
  <c r="HG34" i="72"/>
  <c r="HF66" i="72"/>
  <c r="HE66" i="72"/>
  <c r="HB68" i="72"/>
  <c r="HX68" i="72" s="1"/>
  <c r="HB28" i="72"/>
  <c r="HX28" i="72" s="1"/>
  <c r="HF61" i="72"/>
  <c r="HE61" i="72"/>
  <c r="HG80" i="72"/>
  <c r="HF56" i="72"/>
  <c r="HJ56" i="72" s="1"/>
  <c r="HE56" i="72"/>
  <c r="HF52" i="72"/>
  <c r="HE52" i="72"/>
  <c r="HG69" i="72"/>
  <c r="HG63" i="72"/>
  <c r="HF75" i="72"/>
  <c r="HE75" i="72"/>
  <c r="HG44" i="72"/>
  <c r="HJ44" i="72" s="1"/>
  <c r="HE64" i="72"/>
  <c r="HF64" i="72"/>
  <c r="HG51" i="72"/>
  <c r="HJ51" i="72" s="1"/>
  <c r="HE54" i="72"/>
  <c r="HF54" i="72"/>
  <c r="HE76" i="72"/>
  <c r="HF76" i="72"/>
  <c r="HG54" i="72"/>
  <c r="HB53" i="72"/>
  <c r="HX53" i="72" s="1"/>
  <c r="HG83" i="72"/>
  <c r="HF72" i="72"/>
  <c r="HE72" i="72"/>
  <c r="HF68" i="72"/>
  <c r="HE68" i="72"/>
  <c r="HB61" i="72"/>
  <c r="HX61" i="72" s="1"/>
  <c r="HB56" i="72"/>
  <c r="HX56" i="72" s="1"/>
  <c r="HF50" i="72"/>
  <c r="HE50" i="72"/>
  <c r="HF73" i="72"/>
  <c r="HE73" i="72"/>
  <c r="HB45" i="72"/>
  <c r="HX45" i="72" s="1"/>
  <c r="HG35" i="72"/>
  <c r="HJ35" i="72" s="1"/>
  <c r="HB35" i="72"/>
  <c r="HX35" i="72" s="1"/>
  <c r="EM22" i="72"/>
  <c r="ET22" i="72"/>
  <c r="EM23" i="72"/>
  <c r="HM31" i="72" l="1"/>
  <c r="HI86" i="72"/>
  <c r="HK86" i="72" s="1"/>
  <c r="HH40" i="72"/>
  <c r="HO40" i="72" s="1"/>
  <c r="HP40" i="72" s="1"/>
  <c r="HI40" i="72"/>
  <c r="HJ40" i="72"/>
  <c r="HM67" i="72"/>
  <c r="HK70" i="72"/>
  <c r="HY79" i="106"/>
  <c r="HY60" i="106"/>
  <c r="HY70" i="106"/>
  <c r="HY55" i="106"/>
  <c r="HY39" i="106"/>
  <c r="HY80" i="106"/>
  <c r="HY34" i="106"/>
  <c r="HY78" i="106"/>
  <c r="HY82" i="106"/>
  <c r="HY30" i="106"/>
  <c r="HY42" i="106"/>
  <c r="HY64" i="106"/>
  <c r="HY33" i="106"/>
  <c r="HY62" i="106"/>
  <c r="HY76" i="106"/>
  <c r="HY71" i="106"/>
  <c r="HY69" i="106"/>
  <c r="HY63" i="106"/>
  <c r="HY74" i="106"/>
  <c r="HY54" i="106"/>
  <c r="HY46" i="106"/>
  <c r="HY73" i="106"/>
  <c r="HY43" i="106"/>
  <c r="HY49" i="106"/>
  <c r="HY68" i="106"/>
  <c r="HY50" i="106"/>
  <c r="HY44" i="106"/>
  <c r="HY59" i="106"/>
  <c r="HY75" i="106"/>
  <c r="HY67" i="106"/>
  <c r="HY37" i="106"/>
  <c r="HY77" i="106"/>
  <c r="HY83" i="106"/>
  <c r="HY41" i="106"/>
  <c r="HY26" i="106"/>
  <c r="HY57" i="106"/>
  <c r="HY35" i="106"/>
  <c r="HY81" i="106"/>
  <c r="HY52" i="106"/>
  <c r="HY84" i="106"/>
  <c r="HY53" i="106"/>
  <c r="HY66" i="106"/>
  <c r="HY86" i="106"/>
  <c r="HY48" i="106"/>
  <c r="HY72" i="106"/>
  <c r="HY36" i="106"/>
  <c r="HY40" i="106"/>
  <c r="HY47" i="106"/>
  <c r="HY29" i="106"/>
  <c r="HY27" i="106"/>
  <c r="HY38" i="106"/>
  <c r="HY31" i="106"/>
  <c r="HY58" i="106"/>
  <c r="HY45" i="106"/>
  <c r="HY65" i="106"/>
  <c r="HY51" i="106"/>
  <c r="HY61" i="106"/>
  <c r="HY56" i="106"/>
  <c r="HY85" i="106"/>
  <c r="HY32" i="106"/>
  <c r="HY28" i="106"/>
  <c r="HJ49" i="72"/>
  <c r="HK31" i="72"/>
  <c r="HL31" i="72"/>
  <c r="HN31" i="72" s="1"/>
  <c r="HT31" i="72" s="1"/>
  <c r="HK29" i="72"/>
  <c r="HL86" i="72"/>
  <c r="HM86" i="72"/>
  <c r="HL29" i="72"/>
  <c r="HI49" i="72"/>
  <c r="HH49" i="72"/>
  <c r="HO49" i="72" s="1"/>
  <c r="HP49" i="72" s="1"/>
  <c r="HM29" i="72"/>
  <c r="HM70" i="72"/>
  <c r="HN70" i="72" s="1"/>
  <c r="HT70" i="72" s="1"/>
  <c r="HU70" i="72" s="1"/>
  <c r="HK36" i="72"/>
  <c r="HM36" i="72"/>
  <c r="HN36" i="72" s="1"/>
  <c r="HT36" i="72" s="1"/>
  <c r="HU36" i="72" s="1"/>
  <c r="HJ73" i="72"/>
  <c r="HN57" i="72"/>
  <c r="HT57" i="72" s="1"/>
  <c r="HU57" i="72" s="1"/>
  <c r="HM65" i="72"/>
  <c r="HK65" i="72"/>
  <c r="HI27" i="72"/>
  <c r="HJ27" i="72"/>
  <c r="HH27" i="72"/>
  <c r="HO27" i="72" s="1"/>
  <c r="HJ79" i="72"/>
  <c r="HH79" i="72"/>
  <c r="HO79" i="72" s="1"/>
  <c r="HP79" i="72" s="1"/>
  <c r="HI79" i="72"/>
  <c r="HJ75" i="72"/>
  <c r="HK67" i="72"/>
  <c r="HL67" i="72"/>
  <c r="HN67" i="72" s="1"/>
  <c r="HT67" i="72" s="1"/>
  <c r="HU67" i="72" s="1"/>
  <c r="HI47" i="72"/>
  <c r="HH47" i="72"/>
  <c r="HO47" i="72" s="1"/>
  <c r="HP47" i="72" s="1"/>
  <c r="HJ47" i="72"/>
  <c r="HJ50" i="72"/>
  <c r="HJ72" i="72"/>
  <c r="HJ34" i="72"/>
  <c r="BF58" i="72"/>
  <c r="FR58" i="72" s="1"/>
  <c r="FR48" i="72" s="1"/>
  <c r="FC10" i="72"/>
  <c r="HJ80" i="72"/>
  <c r="AZ58" i="72"/>
  <c r="HJ77" i="72"/>
  <c r="HI59" i="72"/>
  <c r="HH59" i="72"/>
  <c r="HO59" i="72" s="1"/>
  <c r="HP59" i="72" s="1"/>
  <c r="HJ59" i="72"/>
  <c r="FC7" i="72"/>
  <c r="HJ55" i="72"/>
  <c r="CV21" i="73"/>
  <c r="FP45" i="73" s="1"/>
  <c r="DC21" i="73"/>
  <c r="FR45" i="73" s="1"/>
  <c r="HV80" i="73"/>
  <c r="HZ80" i="73" s="1"/>
  <c r="HV83" i="73"/>
  <c r="HZ83" i="73" s="1"/>
  <c r="HV77" i="73"/>
  <c r="HZ77" i="73" s="1"/>
  <c r="FP38" i="73"/>
  <c r="HV41" i="73"/>
  <c r="HZ41" i="73" s="1"/>
  <c r="HV68" i="73"/>
  <c r="HZ68" i="73" s="1"/>
  <c r="HV70" i="73"/>
  <c r="HZ70" i="73" s="1"/>
  <c r="HV50" i="73"/>
  <c r="HZ50" i="73" s="1"/>
  <c r="HJ84" i="72"/>
  <c r="HJ54" i="72"/>
  <c r="HI43" i="72"/>
  <c r="HI74" i="72"/>
  <c r="HJ69" i="72"/>
  <c r="HJ28" i="72"/>
  <c r="HI45" i="72"/>
  <c r="HH58" i="72"/>
  <c r="HO58" i="72" s="1"/>
  <c r="HP58" i="72" s="1"/>
  <c r="HI58" i="72"/>
  <c r="HJ58" i="72"/>
  <c r="HJ83" i="72"/>
  <c r="HJ53" i="72"/>
  <c r="HN65" i="72"/>
  <c r="HT65" i="72" s="1"/>
  <c r="HH66" i="72"/>
  <c r="HI66" i="72"/>
  <c r="HH33" i="72"/>
  <c r="HI33" i="72"/>
  <c r="HJ33" i="72"/>
  <c r="HH78" i="72"/>
  <c r="HI78" i="72"/>
  <c r="HI83" i="72"/>
  <c r="HU82" i="72"/>
  <c r="HJ46" i="72"/>
  <c r="HH37" i="72"/>
  <c r="HI37" i="72"/>
  <c r="HI55" i="72"/>
  <c r="HM55" i="72" s="1"/>
  <c r="HJ64" i="72"/>
  <c r="HI44" i="72"/>
  <c r="HJ66" i="72"/>
  <c r="HO42" i="72"/>
  <c r="HP42" i="72" s="1"/>
  <c r="HH52" i="72"/>
  <c r="HI52" i="72"/>
  <c r="HH63" i="72"/>
  <c r="HI63" i="72"/>
  <c r="HH50" i="72"/>
  <c r="HI50" i="72"/>
  <c r="HH56" i="72"/>
  <c r="HI56" i="72"/>
  <c r="HM56" i="72" s="1"/>
  <c r="HH76" i="72"/>
  <c r="HI76" i="72"/>
  <c r="HH46" i="72"/>
  <c r="HI46" i="72"/>
  <c r="HJ60" i="72"/>
  <c r="HI26" i="72"/>
  <c r="HM26" i="72" s="1"/>
  <c r="HP85" i="72"/>
  <c r="HJ76" i="72"/>
  <c r="HP86" i="72"/>
  <c r="HH32" i="72"/>
  <c r="HI32" i="72"/>
  <c r="HH75" i="72"/>
  <c r="HI75" i="72"/>
  <c r="HH62" i="72"/>
  <c r="HI62" i="72"/>
  <c r="HI35" i="72"/>
  <c r="HH69" i="72"/>
  <c r="HI69" i="72"/>
  <c r="HI80" i="72"/>
  <c r="HI84" i="72"/>
  <c r="HH71" i="72"/>
  <c r="HI71" i="72"/>
  <c r="HJ45" i="72"/>
  <c r="HJ78" i="72"/>
  <c r="HP27" i="72"/>
  <c r="HJ52" i="72"/>
  <c r="HJ32" i="72"/>
  <c r="HP41" i="72"/>
  <c r="HP65" i="72"/>
  <c r="HH68" i="72"/>
  <c r="HI68" i="72"/>
  <c r="HH54" i="72"/>
  <c r="HI54" i="72"/>
  <c r="HJ63" i="72"/>
  <c r="HH61" i="72"/>
  <c r="HI61" i="72"/>
  <c r="HJ74" i="72"/>
  <c r="HH39" i="72"/>
  <c r="HI39" i="72"/>
  <c r="HI53" i="72"/>
  <c r="HJ43" i="72"/>
  <c r="HJ68" i="72"/>
  <c r="HP70" i="72"/>
  <c r="HJ71" i="72"/>
  <c r="HH64" i="72"/>
  <c r="HI64" i="72"/>
  <c r="HH28" i="72"/>
  <c r="HI28" i="72"/>
  <c r="HJ37" i="72"/>
  <c r="HJ81" i="72"/>
  <c r="HH34" i="72"/>
  <c r="HI34" i="72"/>
  <c r="HK34" i="72" s="1"/>
  <c r="HK85" i="72"/>
  <c r="HL85" i="72"/>
  <c r="HN85" i="72" s="1"/>
  <c r="HT85" i="72" s="1"/>
  <c r="HU31" i="72"/>
  <c r="HJ39" i="72"/>
  <c r="HK42" i="72"/>
  <c r="HM42" i="72"/>
  <c r="HN42" i="72" s="1"/>
  <c r="HT42" i="72" s="1"/>
  <c r="HP36" i="72"/>
  <c r="HH73" i="72"/>
  <c r="HI73" i="72"/>
  <c r="HM73" i="72" s="1"/>
  <c r="HH72" i="72"/>
  <c r="HI72" i="72"/>
  <c r="HH60" i="72"/>
  <c r="HI60" i="72"/>
  <c r="HI51" i="72"/>
  <c r="HM51" i="72" s="1"/>
  <c r="HH48" i="72"/>
  <c r="HI48" i="72"/>
  <c r="HH77" i="72"/>
  <c r="HI77" i="72"/>
  <c r="HH81" i="72"/>
  <c r="HI81" i="72"/>
  <c r="HJ30" i="72"/>
  <c r="HM30" i="72" s="1"/>
  <c r="HJ62" i="72"/>
  <c r="HJ61" i="72"/>
  <c r="HN38" i="72"/>
  <c r="HT38" i="72" s="1"/>
  <c r="HP31" i="72"/>
  <c r="HP57" i="72"/>
  <c r="HV67" i="73"/>
  <c r="HZ67" i="73" s="1"/>
  <c r="HY23" i="73"/>
  <c r="HV27" i="73"/>
  <c r="HZ27" i="73" s="1"/>
  <c r="HV32" i="73"/>
  <c r="HZ32" i="73" s="1"/>
  <c r="HV59" i="73"/>
  <c r="HZ59" i="73" s="1"/>
  <c r="HV57" i="73"/>
  <c r="HZ57" i="73" s="1"/>
  <c r="HV85" i="73"/>
  <c r="HZ85" i="73" s="1"/>
  <c r="HV38" i="73"/>
  <c r="HZ38" i="73" s="1"/>
  <c r="HV48" i="73"/>
  <c r="HZ48" i="73" s="1"/>
  <c r="HV74" i="73"/>
  <c r="HZ74" i="73" s="1"/>
  <c r="HV47" i="73"/>
  <c r="HZ47" i="73" s="1"/>
  <c r="HV43" i="73"/>
  <c r="HZ43" i="73" s="1"/>
  <c r="HV58" i="73"/>
  <c r="HZ58" i="73" s="1"/>
  <c r="HV69" i="73"/>
  <c r="HZ69" i="73" s="1"/>
  <c r="HV30" i="73"/>
  <c r="HZ30" i="73" s="1"/>
  <c r="HV64" i="73"/>
  <c r="HZ64" i="73" s="1"/>
  <c r="HV75" i="73"/>
  <c r="HZ75" i="73" s="1"/>
  <c r="HV45" i="73"/>
  <c r="HZ45" i="73" s="1"/>
  <c r="HV26" i="73"/>
  <c r="HV35" i="73"/>
  <c r="HZ35" i="73" s="1"/>
  <c r="HV84" i="73"/>
  <c r="HZ84" i="73" s="1"/>
  <c r="HV36" i="73"/>
  <c r="HZ36" i="73" s="1"/>
  <c r="HV71" i="73"/>
  <c r="HZ71" i="73" s="1"/>
  <c r="HV66" i="73"/>
  <c r="HZ66" i="73" s="1"/>
  <c r="HV39" i="73"/>
  <c r="HZ39" i="73" s="1"/>
  <c r="HV82" i="73"/>
  <c r="HZ82" i="73" s="1"/>
  <c r="HV31" i="73"/>
  <c r="HZ31" i="73" s="1"/>
  <c r="HV79" i="73"/>
  <c r="HZ79" i="73" s="1"/>
  <c r="HV33" i="73"/>
  <c r="HZ33" i="73" s="1"/>
  <c r="HV37" i="73"/>
  <c r="HZ37" i="73" s="1"/>
  <c r="HV76" i="73"/>
  <c r="HZ76" i="73" s="1"/>
  <c r="HV51" i="73"/>
  <c r="HZ51" i="73" s="1"/>
  <c r="HV78" i="73"/>
  <c r="HZ78" i="73" s="1"/>
  <c r="HV60" i="73"/>
  <c r="HZ60" i="73" s="1"/>
  <c r="HV62" i="73"/>
  <c r="HZ62" i="73" s="1"/>
  <c r="HV63" i="73"/>
  <c r="HZ63" i="73" s="1"/>
  <c r="HV34" i="73"/>
  <c r="HZ34" i="73" s="1"/>
  <c r="HV28" i="73"/>
  <c r="HZ28" i="73" s="1"/>
  <c r="HV54" i="73"/>
  <c r="HZ54" i="73" s="1"/>
  <c r="HV53" i="73"/>
  <c r="HZ53" i="73" s="1"/>
  <c r="HV55" i="73"/>
  <c r="HZ55" i="73" s="1"/>
  <c r="HV42" i="73"/>
  <c r="HZ42" i="73" s="1"/>
  <c r="HV86" i="73"/>
  <c r="HZ86" i="73" s="1"/>
  <c r="HV46" i="73"/>
  <c r="HZ46" i="73" s="1"/>
  <c r="HV44" i="73"/>
  <c r="HZ44" i="73" s="1"/>
  <c r="HV40" i="73"/>
  <c r="HZ40" i="73" s="1"/>
  <c r="HV49" i="73"/>
  <c r="HZ49" i="73" s="1"/>
  <c r="HV65" i="73"/>
  <c r="HZ65" i="73" s="1"/>
  <c r="HV81" i="73"/>
  <c r="HZ81" i="73" s="1"/>
  <c r="HV73" i="73"/>
  <c r="HZ73" i="73" s="1"/>
  <c r="HV52" i="73"/>
  <c r="HZ52" i="73" s="1"/>
  <c r="HV56" i="73"/>
  <c r="HZ56" i="73" s="1"/>
  <c r="HV61" i="73"/>
  <c r="HZ61" i="73" s="1"/>
  <c r="HV29" i="73"/>
  <c r="HZ29" i="73" s="1"/>
  <c r="HH43" i="72"/>
  <c r="HH55" i="72"/>
  <c r="HH44" i="72"/>
  <c r="HH83" i="72"/>
  <c r="HH35" i="72"/>
  <c r="HH74" i="72"/>
  <c r="HH80" i="72"/>
  <c r="HH84" i="72"/>
  <c r="HH53" i="72"/>
  <c r="HH45" i="72"/>
  <c r="HH51" i="72"/>
  <c r="HH30" i="72"/>
  <c r="HH26" i="72"/>
  <c r="HO26" i="72" s="1"/>
  <c r="EN24" i="72"/>
  <c r="ET24" i="72"/>
  <c r="HM40" i="72" l="1"/>
  <c r="HK40" i="72"/>
  <c r="HL40" i="72"/>
  <c r="HN40" i="72" s="1"/>
  <c r="HT40" i="72" s="1"/>
  <c r="HU40" i="72" s="1"/>
  <c r="HM80" i="72"/>
  <c r="HN29" i="72"/>
  <c r="HT29" i="72" s="1"/>
  <c r="HU29" i="72" s="1"/>
  <c r="HM59" i="72"/>
  <c r="HN86" i="72"/>
  <c r="HT86" i="72" s="1"/>
  <c r="HU86" i="72" s="1"/>
  <c r="HL49" i="72"/>
  <c r="HK49" i="72"/>
  <c r="HM49" i="72"/>
  <c r="HM75" i="72"/>
  <c r="HM77" i="72"/>
  <c r="HK50" i="72"/>
  <c r="HM28" i="72"/>
  <c r="HL45" i="72"/>
  <c r="HM78" i="72"/>
  <c r="HM76" i="72"/>
  <c r="HM54" i="72"/>
  <c r="HL79" i="72"/>
  <c r="HK79" i="72"/>
  <c r="HM79" i="72"/>
  <c r="HM69" i="72"/>
  <c r="HM27" i="72"/>
  <c r="HK27" i="72"/>
  <c r="HL27" i="72"/>
  <c r="HM47" i="72"/>
  <c r="HL47" i="72"/>
  <c r="HK47" i="72"/>
  <c r="HM61" i="72"/>
  <c r="HM62" i="72"/>
  <c r="HM71" i="72"/>
  <c r="HL74" i="72"/>
  <c r="HM63" i="72"/>
  <c r="HM43" i="72"/>
  <c r="HK59" i="72"/>
  <c r="HL59" i="72"/>
  <c r="CX6" i="72"/>
  <c r="CO7" i="72"/>
  <c r="CX7" i="72" s="1"/>
  <c r="FP58" i="72"/>
  <c r="CO6" i="72"/>
  <c r="HL30" i="72"/>
  <c r="HN30" i="72" s="1"/>
  <c r="HT30" i="72" s="1"/>
  <c r="HM52" i="72"/>
  <c r="HK45" i="72"/>
  <c r="HM58" i="72"/>
  <c r="FP39" i="73"/>
  <c r="CV27" i="73"/>
  <c r="FP46" i="73" s="1"/>
  <c r="DC27" i="73"/>
  <c r="FR46" i="73" s="1"/>
  <c r="HM45" i="72"/>
  <c r="HK43" i="72"/>
  <c r="HM39" i="72"/>
  <c r="HM60" i="72"/>
  <c r="HM46" i="72"/>
  <c r="HM68" i="72"/>
  <c r="HL58" i="72"/>
  <c r="HK58" i="72"/>
  <c r="HM64" i="72"/>
  <c r="HM33" i="72"/>
  <c r="HK66" i="72"/>
  <c r="HL66" i="72"/>
  <c r="HO44" i="72"/>
  <c r="HO48" i="72"/>
  <c r="HO73" i="72"/>
  <c r="HL54" i="72"/>
  <c r="HK54" i="72"/>
  <c r="HM32" i="72"/>
  <c r="HL71" i="72"/>
  <c r="HK71" i="72"/>
  <c r="HL62" i="72"/>
  <c r="HK62" i="72"/>
  <c r="HL46" i="72"/>
  <c r="HK46" i="72"/>
  <c r="HO50" i="72"/>
  <c r="HM34" i="72"/>
  <c r="HL78" i="72"/>
  <c r="HK78" i="72"/>
  <c r="HO66" i="72"/>
  <c r="HP66" i="72" s="1"/>
  <c r="HK37" i="72"/>
  <c r="HL37" i="72"/>
  <c r="HO30" i="72"/>
  <c r="HP30" i="72" s="1"/>
  <c r="HU38" i="72"/>
  <c r="HO37" i="72"/>
  <c r="HK83" i="72"/>
  <c r="HL83" i="72"/>
  <c r="HO51" i="72"/>
  <c r="HP51" i="72" s="1"/>
  <c r="HO45" i="72"/>
  <c r="HO55" i="72"/>
  <c r="HP55" i="72" s="1"/>
  <c r="HL81" i="72"/>
  <c r="HK81" i="72"/>
  <c r="HL51" i="72"/>
  <c r="HN51" i="72" s="1"/>
  <c r="HT51" i="72" s="1"/>
  <c r="HK51" i="72"/>
  <c r="HM37" i="72"/>
  <c r="HK53" i="72"/>
  <c r="HL53" i="72"/>
  <c r="HO54" i="72"/>
  <c r="HO71" i="72"/>
  <c r="HP71" i="72" s="1"/>
  <c r="HO62" i="72"/>
  <c r="HO46" i="72"/>
  <c r="HM66" i="72"/>
  <c r="HM44" i="72"/>
  <c r="HL44" i="72"/>
  <c r="HK44" i="72"/>
  <c r="HL34" i="72"/>
  <c r="HO78" i="72"/>
  <c r="HU65" i="72"/>
  <c r="HO77" i="72"/>
  <c r="HO64" i="72"/>
  <c r="HO61" i="72"/>
  <c r="HO56" i="72"/>
  <c r="HO83" i="72"/>
  <c r="HL60" i="72"/>
  <c r="HK60" i="72"/>
  <c r="HL28" i="72"/>
  <c r="HN28" i="72" s="1"/>
  <c r="HT28" i="72" s="1"/>
  <c r="HK28" i="72"/>
  <c r="HK39" i="72"/>
  <c r="HL39" i="72"/>
  <c r="HL75" i="72"/>
  <c r="HN75" i="72" s="1"/>
  <c r="HT75" i="72" s="1"/>
  <c r="HK75" i="72"/>
  <c r="HP26" i="72"/>
  <c r="HO72" i="72"/>
  <c r="HU85" i="72"/>
  <c r="HK35" i="72"/>
  <c r="HL35" i="72"/>
  <c r="HO43" i="72"/>
  <c r="HP43" i="72" s="1"/>
  <c r="HO81" i="72"/>
  <c r="HP81" i="72" s="1"/>
  <c r="HL68" i="72"/>
  <c r="HK68" i="72"/>
  <c r="HK84" i="72"/>
  <c r="HL84" i="72"/>
  <c r="HM84" i="72"/>
  <c r="HM83" i="72"/>
  <c r="HO84" i="72"/>
  <c r="HP84" i="72" s="1"/>
  <c r="HK30" i="72"/>
  <c r="HO60" i="72"/>
  <c r="HP60" i="72" s="1"/>
  <c r="HO28" i="72"/>
  <c r="HP28" i="72" s="1"/>
  <c r="HO39" i="72"/>
  <c r="HP39" i="72" s="1"/>
  <c r="HO68" i="72"/>
  <c r="HP68" i="72" s="1"/>
  <c r="HK80" i="72"/>
  <c r="HL80" i="72"/>
  <c r="HN80" i="72" s="1"/>
  <c r="HT80" i="72" s="1"/>
  <c r="HO75" i="72"/>
  <c r="HP75" i="72" s="1"/>
  <c r="HL76" i="72"/>
  <c r="HK76" i="72"/>
  <c r="HL63" i="72"/>
  <c r="HK63" i="72"/>
  <c r="HL55" i="72"/>
  <c r="HN55" i="72" s="1"/>
  <c r="HT55" i="72" s="1"/>
  <c r="HK55" i="72"/>
  <c r="HK48" i="72"/>
  <c r="HL48" i="72"/>
  <c r="HO53" i="72"/>
  <c r="HO80" i="72"/>
  <c r="HP80" i="72" s="1"/>
  <c r="HK74" i="72"/>
  <c r="HM74" i="72"/>
  <c r="HN74" i="72" s="1"/>
  <c r="HT74" i="72" s="1"/>
  <c r="HU42" i="72"/>
  <c r="HM35" i="72"/>
  <c r="HO35" i="72"/>
  <c r="HP35" i="72" s="1"/>
  <c r="HK32" i="72"/>
  <c r="HL32" i="72"/>
  <c r="HO52" i="72"/>
  <c r="HP52" i="72" s="1"/>
  <c r="HO33" i="72"/>
  <c r="HP33" i="72" s="1"/>
  <c r="HK73" i="72"/>
  <c r="HL73" i="72"/>
  <c r="HN73" i="72" s="1"/>
  <c r="HT73" i="72" s="1"/>
  <c r="HO32" i="72"/>
  <c r="HP32" i="72" s="1"/>
  <c r="HO34" i="72"/>
  <c r="HK69" i="72"/>
  <c r="HL69" i="72"/>
  <c r="HK26" i="72"/>
  <c r="HL26" i="72"/>
  <c r="HN26" i="72" s="1"/>
  <c r="HO76" i="72"/>
  <c r="HP76" i="72" s="1"/>
  <c r="HO63" i="72"/>
  <c r="HM48" i="72"/>
  <c r="HM50" i="72"/>
  <c r="HO74" i="72"/>
  <c r="HP74" i="72" s="1"/>
  <c r="HK77" i="72"/>
  <c r="HL77" i="72"/>
  <c r="HL72" i="72"/>
  <c r="HK72" i="72"/>
  <c r="HM81" i="72"/>
  <c r="HK64" i="72"/>
  <c r="HL64" i="72"/>
  <c r="HK61" i="72"/>
  <c r="HL61" i="72"/>
  <c r="HM53" i="72"/>
  <c r="HO69" i="72"/>
  <c r="HP69" i="72" s="1"/>
  <c r="HK56" i="72"/>
  <c r="HL56" i="72"/>
  <c r="HN56" i="72" s="1"/>
  <c r="HT56" i="72" s="1"/>
  <c r="HL52" i="72"/>
  <c r="HK52" i="72"/>
  <c r="HL43" i="72"/>
  <c r="HL33" i="72"/>
  <c r="HK33" i="72"/>
  <c r="HM72" i="72"/>
  <c r="HL50" i="72"/>
  <c r="HY31" i="73"/>
  <c r="HY42" i="73"/>
  <c r="HY53" i="73"/>
  <c r="HY71" i="73"/>
  <c r="HY83" i="73"/>
  <c r="HY27" i="73"/>
  <c r="HY57" i="73"/>
  <c r="HY55" i="73"/>
  <c r="HY52" i="73"/>
  <c r="HY84" i="73"/>
  <c r="HY78" i="73"/>
  <c r="HY39" i="73"/>
  <c r="HY69" i="73"/>
  <c r="HY75" i="73"/>
  <c r="HY37" i="73"/>
  <c r="HY76" i="73"/>
  <c r="HY73" i="73"/>
  <c r="HY38" i="73"/>
  <c r="HY51" i="73"/>
  <c r="HY85" i="73"/>
  <c r="HY60" i="73"/>
  <c r="HY59" i="73"/>
  <c r="HY40" i="73"/>
  <c r="HY86" i="73"/>
  <c r="HY61" i="73"/>
  <c r="HY66" i="73"/>
  <c r="HY35" i="73"/>
  <c r="HY64" i="73"/>
  <c r="HY77" i="73"/>
  <c r="HY63" i="73"/>
  <c r="HY44" i="73"/>
  <c r="HY29" i="73"/>
  <c r="HY34" i="73"/>
  <c r="HY74" i="73"/>
  <c r="HY62" i="73"/>
  <c r="HY68" i="73"/>
  <c r="HY47" i="73"/>
  <c r="HY65" i="73"/>
  <c r="HY82" i="73"/>
  <c r="HY33" i="73"/>
  <c r="HY46" i="73"/>
  <c r="HY48" i="73"/>
  <c r="HY50" i="73"/>
  <c r="HY26" i="73"/>
  <c r="HY72" i="73"/>
  <c r="HY45" i="73"/>
  <c r="HY30" i="73"/>
  <c r="HY67" i="73"/>
  <c r="HY80" i="73"/>
  <c r="HY54" i="73"/>
  <c r="HY70" i="73"/>
  <c r="HY32" i="73"/>
  <c r="HY79" i="73"/>
  <c r="HY43" i="73"/>
  <c r="HY41" i="73"/>
  <c r="HY49" i="73"/>
  <c r="HY28" i="73"/>
  <c r="HY81" i="73"/>
  <c r="HY58" i="73"/>
  <c r="HY36" i="73"/>
  <c r="HY56" i="73"/>
  <c r="HN69" i="72" l="1"/>
  <c r="HT69" i="72" s="1"/>
  <c r="HN43" i="72"/>
  <c r="HT43" i="72" s="1"/>
  <c r="HN77" i="72"/>
  <c r="HT77" i="72" s="1"/>
  <c r="HN78" i="72"/>
  <c r="HT78" i="72" s="1"/>
  <c r="HU78" i="72" s="1"/>
  <c r="HN59" i="72"/>
  <c r="HT59" i="72" s="1"/>
  <c r="HU59" i="72" s="1"/>
  <c r="HN49" i="72"/>
  <c r="HT49" i="72" s="1"/>
  <c r="HU49" i="72" s="1"/>
  <c r="HN33" i="72"/>
  <c r="HT33" i="72" s="1"/>
  <c r="HU33" i="72" s="1"/>
  <c r="HN76" i="72"/>
  <c r="HT76" i="72" s="1"/>
  <c r="HU76" i="72" s="1"/>
  <c r="HN47" i="72"/>
  <c r="HT47" i="72" s="1"/>
  <c r="HU47" i="72" s="1"/>
  <c r="HN27" i="72"/>
  <c r="HT27" i="72" s="1"/>
  <c r="HU27" i="72" s="1"/>
  <c r="HN71" i="72"/>
  <c r="HT71" i="72" s="1"/>
  <c r="HU71" i="72" s="1"/>
  <c r="HN45" i="72"/>
  <c r="HT45" i="72" s="1"/>
  <c r="HN63" i="72"/>
  <c r="HT63" i="72" s="1"/>
  <c r="HU63" i="72" s="1"/>
  <c r="HN54" i="72"/>
  <c r="HT54" i="72" s="1"/>
  <c r="HU54" i="72" s="1"/>
  <c r="HN64" i="72"/>
  <c r="HT64" i="72" s="1"/>
  <c r="HU64" i="72" s="1"/>
  <c r="HN79" i="72"/>
  <c r="HT79" i="72" s="1"/>
  <c r="HU79" i="72" s="1"/>
  <c r="HN61" i="72"/>
  <c r="HT61" i="72" s="1"/>
  <c r="HU61" i="72" s="1"/>
  <c r="HN52" i="72"/>
  <c r="HT52" i="72" s="1"/>
  <c r="HU52" i="72" s="1"/>
  <c r="HN62" i="72"/>
  <c r="HT62" i="72" s="1"/>
  <c r="HU62" i="72" s="1"/>
  <c r="HN39" i="72"/>
  <c r="HT39" i="72" s="1"/>
  <c r="HU39" i="72" s="1"/>
  <c r="HN37" i="72"/>
  <c r="HT37" i="72" s="1"/>
  <c r="HN46" i="72"/>
  <c r="HT46" i="72" s="1"/>
  <c r="HU46" i="72" s="1"/>
  <c r="HN60" i="72"/>
  <c r="HT60" i="72" s="1"/>
  <c r="HU60" i="72" s="1"/>
  <c r="HN58" i="72"/>
  <c r="HT58" i="72" s="1"/>
  <c r="HU58" i="72" s="1"/>
  <c r="DH6" i="72"/>
  <c r="FP48" i="72"/>
  <c r="FP26" i="72" s="1"/>
  <c r="FP36" i="72"/>
  <c r="HN84" i="72"/>
  <c r="HT84" i="72" s="1"/>
  <c r="HU84" i="72" s="1"/>
  <c r="DN6" i="72"/>
  <c r="HN68" i="72"/>
  <c r="HT68" i="72" s="1"/>
  <c r="HU68" i="72" s="1"/>
  <c r="HN32" i="72"/>
  <c r="HT32" i="72" s="1"/>
  <c r="HU32" i="72" s="1"/>
  <c r="FP40" i="73"/>
  <c r="HN72" i="72"/>
  <c r="HT72" i="72" s="1"/>
  <c r="HU72" i="72" s="1"/>
  <c r="HN48" i="72"/>
  <c r="HT48" i="72" s="1"/>
  <c r="HU48" i="72" s="1"/>
  <c r="HU74" i="72"/>
  <c r="HU43" i="72"/>
  <c r="HU75" i="72"/>
  <c r="HU56" i="72"/>
  <c r="HN50" i="72"/>
  <c r="HT50" i="72" s="1"/>
  <c r="HU73" i="72"/>
  <c r="HP83" i="72"/>
  <c r="HP77" i="72"/>
  <c r="HN44" i="72"/>
  <c r="HT44" i="72" s="1"/>
  <c r="HN34" i="72"/>
  <c r="HT34" i="72" s="1"/>
  <c r="HP48" i="72"/>
  <c r="HU51" i="72"/>
  <c r="HU69" i="72"/>
  <c r="HN81" i="72"/>
  <c r="HT81" i="72" s="1"/>
  <c r="HN83" i="72"/>
  <c r="HT83" i="72" s="1"/>
  <c r="HU55" i="72"/>
  <c r="HP53" i="72"/>
  <c r="HP56" i="72"/>
  <c r="HP54" i="72"/>
  <c r="HP50" i="72"/>
  <c r="HP44" i="72"/>
  <c r="HN53" i="72"/>
  <c r="HT53" i="72" s="1"/>
  <c r="HN66" i="72"/>
  <c r="HT66" i="72" s="1"/>
  <c r="HU77" i="72"/>
  <c r="HP63" i="72"/>
  <c r="HP34" i="72"/>
  <c r="HP72" i="72"/>
  <c r="HU28" i="72"/>
  <c r="HP61" i="72"/>
  <c r="HP78" i="72"/>
  <c r="HP46" i="72"/>
  <c r="HP37" i="72"/>
  <c r="HU37" i="72"/>
  <c r="HP45" i="72"/>
  <c r="HU45" i="72"/>
  <c r="HT26" i="72"/>
  <c r="HU80" i="72"/>
  <c r="HN35" i="72"/>
  <c r="HT35" i="72" s="1"/>
  <c r="HP64" i="72"/>
  <c r="HP62" i="72"/>
  <c r="HU30" i="72"/>
  <c r="HP73" i="72"/>
  <c r="FP43" i="72" l="1"/>
  <c r="FC4" i="72"/>
  <c r="FC16" i="72" s="1"/>
  <c r="CP13" i="72"/>
  <c r="EN29" i="72"/>
  <c r="FR43" i="72"/>
  <c r="CW13" i="72"/>
  <c r="ES29" i="72"/>
  <c r="HV68" i="72"/>
  <c r="HZ68" i="72" s="1"/>
  <c r="HV54" i="72"/>
  <c r="HZ54" i="72" s="1"/>
  <c r="HV62" i="72"/>
  <c r="HZ62" i="72" s="1"/>
  <c r="HV63" i="72"/>
  <c r="HZ63" i="72" s="1"/>
  <c r="HV32" i="72"/>
  <c r="HZ32" i="72" s="1"/>
  <c r="HV55" i="72"/>
  <c r="HZ55" i="72" s="1"/>
  <c r="HV69" i="72"/>
  <c r="HZ69" i="72" s="1"/>
  <c r="HZ26" i="72"/>
  <c r="HV52" i="72"/>
  <c r="HZ52" i="72" s="1"/>
  <c r="HV61" i="72"/>
  <c r="HZ61" i="72" s="1"/>
  <c r="HV60" i="72"/>
  <c r="HZ60" i="72" s="1"/>
  <c r="HV71" i="72"/>
  <c r="HZ71" i="72" s="1"/>
  <c r="HV56" i="72"/>
  <c r="HZ56" i="72" s="1"/>
  <c r="HV43" i="72"/>
  <c r="HZ43" i="72" s="1"/>
  <c r="HV45" i="72"/>
  <c r="HZ45" i="72" s="1"/>
  <c r="HV78" i="72"/>
  <c r="HZ78" i="72" s="1"/>
  <c r="HV46" i="72"/>
  <c r="HZ46" i="72" s="1"/>
  <c r="HV39" i="72"/>
  <c r="HZ39" i="72" s="1"/>
  <c r="HV51" i="72"/>
  <c r="HZ51" i="72" s="1"/>
  <c r="HV33" i="72"/>
  <c r="HZ33" i="72" s="1"/>
  <c r="HV30" i="72"/>
  <c r="HZ30" i="72" s="1"/>
  <c r="HV72" i="72"/>
  <c r="HZ72" i="72" s="1"/>
  <c r="HV76" i="72"/>
  <c r="HZ76" i="72" s="1"/>
  <c r="HV73" i="72"/>
  <c r="HZ73" i="72" s="1"/>
  <c r="HV64" i="72"/>
  <c r="HZ64" i="72" s="1"/>
  <c r="HV77" i="72"/>
  <c r="HZ77" i="72" s="1"/>
  <c r="HV84" i="72"/>
  <c r="HZ84" i="72" s="1"/>
  <c r="HV80" i="72"/>
  <c r="HZ80" i="72" s="1"/>
  <c r="HV37" i="72"/>
  <c r="HZ37" i="72" s="1"/>
  <c r="HV28" i="72"/>
  <c r="HZ28" i="72" s="1"/>
  <c r="HV48" i="72"/>
  <c r="HZ48" i="72" s="1"/>
  <c r="HU35" i="72"/>
  <c r="HV35" i="72"/>
  <c r="HZ35" i="72" s="1"/>
  <c r="HU81" i="72"/>
  <c r="HV81" i="72"/>
  <c r="HZ81" i="72" s="1"/>
  <c r="HU50" i="72"/>
  <c r="HV50" i="72"/>
  <c r="HZ50" i="72" s="1"/>
  <c r="HU26" i="72"/>
  <c r="HU44" i="72"/>
  <c r="HV44" i="72"/>
  <c r="HZ44" i="72" s="1"/>
  <c r="HU34" i="72"/>
  <c r="HV34" i="72"/>
  <c r="HZ34" i="72" s="1"/>
  <c r="HY23" i="72"/>
  <c r="HV47" i="72"/>
  <c r="HZ47" i="72" s="1"/>
  <c r="HV41" i="72"/>
  <c r="HZ41" i="72" s="1"/>
  <c r="HV49" i="72"/>
  <c r="HZ49" i="72" s="1"/>
  <c r="HV82" i="72"/>
  <c r="HZ82" i="72" s="1"/>
  <c r="HV27" i="72"/>
  <c r="HZ27" i="72" s="1"/>
  <c r="HV79" i="72"/>
  <c r="HZ79" i="72" s="1"/>
  <c r="HV86" i="72"/>
  <c r="HZ86" i="72" s="1"/>
  <c r="HV29" i="72"/>
  <c r="HZ29" i="72" s="1"/>
  <c r="HV40" i="72"/>
  <c r="HZ40" i="72" s="1"/>
  <c r="HV57" i="72"/>
  <c r="HZ57" i="72" s="1"/>
  <c r="HV36" i="72"/>
  <c r="HZ36" i="72" s="1"/>
  <c r="HV59" i="72"/>
  <c r="HZ59" i="72" s="1"/>
  <c r="HV31" i="72"/>
  <c r="HZ31" i="72" s="1"/>
  <c r="HV58" i="72"/>
  <c r="HZ58" i="72" s="1"/>
  <c r="HV70" i="72"/>
  <c r="HZ70" i="72" s="1"/>
  <c r="HV67" i="72"/>
  <c r="HZ67" i="72" s="1"/>
  <c r="HV38" i="72"/>
  <c r="HZ38" i="72" s="1"/>
  <c r="HV42" i="72"/>
  <c r="HZ42" i="72" s="1"/>
  <c r="HV65" i="72"/>
  <c r="HZ65" i="72" s="1"/>
  <c r="HV85" i="72"/>
  <c r="HZ85" i="72" s="1"/>
  <c r="HU83" i="72"/>
  <c r="HV83" i="72"/>
  <c r="HZ83" i="72" s="1"/>
  <c r="HU53" i="72"/>
  <c r="HV53" i="72"/>
  <c r="HZ53" i="72" s="1"/>
  <c r="HU66" i="72"/>
  <c r="HV66" i="72"/>
  <c r="HZ66" i="72" s="1"/>
  <c r="HV75" i="72"/>
  <c r="HZ75" i="72" s="1"/>
  <c r="HV74" i="72"/>
  <c r="HZ74" i="72" s="1"/>
  <c r="FP37" i="72" l="1"/>
  <c r="FR44" i="72"/>
  <c r="DC21" i="72"/>
  <c r="FR45" i="72" s="1"/>
  <c r="FP44" i="72"/>
  <c r="CV21" i="72"/>
  <c r="HY85" i="72"/>
  <c r="HY58" i="72"/>
  <c r="HY49" i="72"/>
  <c r="HY31" i="72"/>
  <c r="HY40" i="72"/>
  <c r="HY38" i="72"/>
  <c r="HY29" i="72"/>
  <c r="HY36" i="72"/>
  <c r="HY47" i="72"/>
  <c r="HY41" i="72"/>
  <c r="HY67" i="72"/>
  <c r="HY79" i="72"/>
  <c r="HY86" i="72"/>
  <c r="HY82" i="72"/>
  <c r="HY65" i="72"/>
  <c r="HY70" i="72"/>
  <c r="HY59" i="72"/>
  <c r="HY57" i="72"/>
  <c r="HY27" i="72"/>
  <c r="HY42" i="72"/>
  <c r="HY26" i="72"/>
  <c r="HY48" i="72"/>
  <c r="HY68" i="72"/>
  <c r="HY50" i="72"/>
  <c r="HY76" i="72"/>
  <c r="HY73" i="72"/>
  <c r="HY77" i="72"/>
  <c r="HY45" i="72"/>
  <c r="HY44" i="72"/>
  <c r="HY55" i="72"/>
  <c r="HY72" i="72"/>
  <c r="HY33" i="72"/>
  <c r="HY61" i="72"/>
  <c r="HY64" i="72"/>
  <c r="HY60" i="72"/>
  <c r="HY46" i="72"/>
  <c r="HY62" i="72"/>
  <c r="HY74" i="72"/>
  <c r="HY78" i="72"/>
  <c r="HY52" i="72"/>
  <c r="HY75" i="72"/>
  <c r="HY54" i="72"/>
  <c r="HY84" i="72"/>
  <c r="HY66" i="72"/>
  <c r="HY83" i="72"/>
  <c r="HY30" i="72"/>
  <c r="HY56" i="72"/>
  <c r="HY71" i="72"/>
  <c r="HY39" i="72"/>
  <c r="HY80" i="72"/>
  <c r="HY53" i="72"/>
  <c r="HY51" i="72"/>
  <c r="HY28" i="72"/>
  <c r="HY35" i="72"/>
  <c r="HY69" i="72"/>
  <c r="HY81" i="72"/>
  <c r="HY63" i="72"/>
  <c r="HY37" i="72"/>
  <c r="HY34" i="72"/>
  <c r="HY43" i="72"/>
  <c r="HY32" i="72"/>
  <c r="FP38" i="72" l="1"/>
  <c r="FP45" i="72"/>
  <c r="FP39" i="72" s="1"/>
  <c r="DC27" i="72"/>
  <c r="FR46" i="72" s="1"/>
  <c r="CV27" i="72"/>
  <c r="FP46" i="72" s="1"/>
  <c r="FP40" i="72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<sst xmlns="http://schemas.openxmlformats.org/spreadsheetml/2006/main" count="2109" uniqueCount="342">
  <si>
    <t>*************************************************</t>
    <phoneticPr fontId="1"/>
  </si>
  <si>
    <t>L1</t>
    <phoneticPr fontId="1"/>
  </si>
  <si>
    <t>L2</t>
    <phoneticPr fontId="1"/>
  </si>
  <si>
    <t>R1</t>
    <phoneticPr fontId="1"/>
  </si>
  <si>
    <t>R2</t>
    <phoneticPr fontId="1"/>
  </si>
  <si>
    <t>R0</t>
    <phoneticPr fontId="1"/>
  </si>
  <si>
    <t>C2</t>
    <phoneticPr fontId="1"/>
  </si>
  <si>
    <t>C1</t>
    <phoneticPr fontId="1"/>
  </si>
  <si>
    <t>R3</t>
    <phoneticPr fontId="1"/>
  </si>
  <si>
    <t>R4</t>
    <phoneticPr fontId="1"/>
  </si>
  <si>
    <t>Ro</t>
    <phoneticPr fontId="1"/>
  </si>
  <si>
    <t>R11</t>
    <phoneticPr fontId="1"/>
  </si>
  <si>
    <t>R22</t>
    <phoneticPr fontId="1"/>
  </si>
  <si>
    <t>Z1=</t>
    <phoneticPr fontId="1"/>
  </si>
  <si>
    <t>2R1+jωL1+R11</t>
    <phoneticPr fontId="1"/>
  </si>
  <si>
    <t>Z2=</t>
  </si>
  <si>
    <t>R1^2</t>
    <phoneticPr fontId="1"/>
  </si>
  <si>
    <t>Z3=</t>
  </si>
  <si>
    <t>Z4=</t>
  </si>
  <si>
    <t>R2*(jωL2+R22)</t>
    <phoneticPr fontId="1"/>
  </si>
  <si>
    <t>R1*(jωL1+R11)</t>
    <phoneticPr fontId="1"/>
  </si>
  <si>
    <t>2R2+jωL2+R22</t>
    <phoneticPr fontId="1"/>
  </si>
  <si>
    <t>R2^2</t>
    <phoneticPr fontId="1"/>
  </si>
  <si>
    <t>Z5</t>
    <phoneticPr fontId="1"/>
  </si>
  <si>
    <t>Z6</t>
    <phoneticPr fontId="1"/>
  </si>
  <si>
    <t>Z5=</t>
  </si>
  <si>
    <t>+R3+</t>
    <phoneticPr fontId="1"/>
  </si>
  <si>
    <t>1/(jωC1)+R4</t>
    <phoneticPr fontId="1"/>
  </si>
  <si>
    <t>R4/(jωC1)</t>
    <phoneticPr fontId="1"/>
  </si>
  <si>
    <t>Z6=</t>
  </si>
  <si>
    <t>+</t>
    <phoneticPr fontId="1"/>
  </si>
  <si>
    <t>jωC2</t>
    <phoneticPr fontId="1"/>
  </si>
  <si>
    <t>Z7=</t>
  </si>
  <si>
    <t>=</t>
    <phoneticPr fontId="1"/>
  </si>
  <si>
    <t>(2R1+R11)^2+(ωL1)^2</t>
    <phoneticPr fontId="1"/>
  </si>
  <si>
    <t>R1*(jωL1+R11)(2R1+R11-jωL1)</t>
    <phoneticPr fontId="1"/>
  </si>
  <si>
    <t>R2*(jωL2+R22)(2R2+R22-jωL2)</t>
    <phoneticPr fontId="1"/>
  </si>
  <si>
    <t>(2R2+R22)^2+(ωL2)^2</t>
    <phoneticPr fontId="1"/>
  </si>
  <si>
    <t>R1=</t>
    <phoneticPr fontId="1"/>
  </si>
  <si>
    <t>R2=</t>
  </si>
  <si>
    <t>R3=</t>
  </si>
  <si>
    <t>R4=</t>
  </si>
  <si>
    <t>Ro=</t>
    <phoneticPr fontId="1"/>
  </si>
  <si>
    <t>Ω</t>
    <phoneticPr fontId="1"/>
  </si>
  <si>
    <t>L1=</t>
    <phoneticPr fontId="1"/>
  </si>
  <si>
    <t>L2=</t>
  </si>
  <si>
    <t>H</t>
    <phoneticPr fontId="1"/>
  </si>
  <si>
    <t>C1=</t>
    <phoneticPr fontId="1"/>
  </si>
  <si>
    <t>C2=</t>
  </si>
  <si>
    <t>f=</t>
    <phoneticPr fontId="1"/>
  </si>
  <si>
    <t>Hz</t>
    <phoneticPr fontId="1"/>
  </si>
  <si>
    <t>ω=</t>
    <phoneticPr fontId="1"/>
  </si>
  <si>
    <t>ωC2</t>
    <phoneticPr fontId="1"/>
  </si>
  <si>
    <t>R11=</t>
    <phoneticPr fontId="1"/>
  </si>
  <si>
    <t>R22=</t>
    <phoneticPr fontId="1"/>
  </si>
  <si>
    <t>R2*(2R2*R22+R22^2+(ωL2)^2+2R2*jωL2）)</t>
    <phoneticPr fontId="1"/>
  </si>
  <si>
    <t>Z7</t>
    <phoneticPr fontId="1"/>
  </si>
  <si>
    <t>Ei</t>
    <phoneticPr fontId="1"/>
  </si>
  <si>
    <t>Eo</t>
    <phoneticPr fontId="1"/>
  </si>
  <si>
    <t>Z1+Z3+Z6//Z7</t>
    <phoneticPr fontId="1"/>
  </si>
  <si>
    <t>Z8=</t>
    <phoneticPr fontId="1"/>
  </si>
  <si>
    <t>Z8</t>
    <phoneticPr fontId="1"/>
  </si>
  <si>
    <t>Z1+Z5//Z8</t>
    <phoneticPr fontId="1"/>
  </si>
  <si>
    <t>Ztotal＝</t>
    <phoneticPr fontId="1"/>
  </si>
  <si>
    <t>Z1+</t>
    <phoneticPr fontId="1"/>
  </si>
  <si>
    <t>Z5*Z8</t>
    <phoneticPr fontId="1"/>
  </si>
  <si>
    <t>Z5+Z8</t>
    <phoneticPr fontId="1"/>
  </si>
  <si>
    <t>1+R4*jωC1</t>
    <phoneticPr fontId="1"/>
  </si>
  <si>
    <t>1+(R4ωC1)^2</t>
    <phoneticPr fontId="1"/>
  </si>
  <si>
    <t>μF</t>
    <phoneticPr fontId="1"/>
  </si>
  <si>
    <t>F</t>
    <phoneticPr fontId="1"/>
  </si>
  <si>
    <t>Z2</t>
    <phoneticPr fontId="1"/>
  </si>
  <si>
    <t>Ec1</t>
    <phoneticPr fontId="1"/>
  </si>
  <si>
    <t>Ec2</t>
    <phoneticPr fontId="1"/>
  </si>
  <si>
    <t>Ec3</t>
    <phoneticPr fontId="1"/>
  </si>
  <si>
    <t>Ec1=</t>
    <phoneticPr fontId="1"/>
  </si>
  <si>
    <t>Ei*</t>
    <phoneticPr fontId="1"/>
  </si>
  <si>
    <t>Z5//Z8</t>
    <phoneticPr fontId="1"/>
  </si>
  <si>
    <t>Ec2=</t>
    <phoneticPr fontId="1"/>
  </si>
  <si>
    <t>Ec1*</t>
    <phoneticPr fontId="1"/>
  </si>
  <si>
    <t>Z8-Z1</t>
    <phoneticPr fontId="1"/>
  </si>
  <si>
    <t>Ec3=</t>
  </si>
  <si>
    <t>Ec2*</t>
  </si>
  <si>
    <t>Z8-Z1-Z3</t>
    <phoneticPr fontId="1"/>
  </si>
  <si>
    <t>Eo=</t>
    <phoneticPr fontId="1"/>
  </si>
  <si>
    <t>Ec3*</t>
  </si>
  <si>
    <t>Z3+Ro</t>
    <phoneticPr fontId="1"/>
  </si>
  <si>
    <t>R2^2*(2R2+R22-jωL2）</t>
    <phoneticPr fontId="1"/>
  </si>
  <si>
    <t>(2R1+R11)^2+(ωL1)^2</t>
  </si>
  <si>
    <t>R1^2*(2R1+R11)-R1^2*jωL1</t>
    <phoneticPr fontId="1"/>
  </si>
  <si>
    <t>R1^2*(2R1+R11)</t>
  </si>
  <si>
    <t>+ｊ</t>
    <phoneticPr fontId="1"/>
  </si>
  <si>
    <t>-R1＾2ωL1</t>
    <phoneticPr fontId="1"/>
  </si>
  <si>
    <t>R1*(2R1*R11+R11^2+(ωL1)^2)</t>
    <phoneticPr fontId="1"/>
  </si>
  <si>
    <t>2R1^2*ωL1</t>
    <phoneticPr fontId="1"/>
  </si>
  <si>
    <t>Z1r</t>
    <phoneticPr fontId="1"/>
  </si>
  <si>
    <t>+ｊ*</t>
    <phoneticPr fontId="1"/>
  </si>
  <si>
    <t>Z1i</t>
    <phoneticPr fontId="1"/>
  </si>
  <si>
    <t>Z2r</t>
  </si>
  <si>
    <t>Z2i</t>
  </si>
  <si>
    <t>Z3r</t>
    <phoneticPr fontId="1"/>
  </si>
  <si>
    <t>Z3i</t>
    <phoneticPr fontId="1"/>
  </si>
  <si>
    <t>Z4r</t>
    <phoneticPr fontId="1"/>
  </si>
  <si>
    <t>Z4i</t>
    <phoneticPr fontId="1"/>
  </si>
  <si>
    <t>Z4</t>
    <phoneticPr fontId="1"/>
  </si>
  <si>
    <t>+j</t>
    <phoneticPr fontId="1"/>
  </si>
  <si>
    <t>-1</t>
    <phoneticPr fontId="1"/>
  </si>
  <si>
    <t>Z6r</t>
    <phoneticPr fontId="1"/>
  </si>
  <si>
    <t>Z6i</t>
    <phoneticPr fontId="1"/>
  </si>
  <si>
    <t>Z7r</t>
    <phoneticPr fontId="1"/>
  </si>
  <si>
    <t>Z7i</t>
    <phoneticPr fontId="1"/>
  </si>
  <si>
    <t>-R4^2*ωC1</t>
    <phoneticPr fontId="1"/>
  </si>
  <si>
    <t>Z5r</t>
    <phoneticPr fontId="1"/>
  </si>
  <si>
    <t>Z5i</t>
    <phoneticPr fontId="1"/>
  </si>
  <si>
    <t>j*</t>
    <phoneticPr fontId="1"/>
  </si>
  <si>
    <t>+j*</t>
    <phoneticPr fontId="1"/>
  </si>
  <si>
    <t>Z1r+Z58r+j*(Z1i+Z58i)</t>
    <phoneticPr fontId="1"/>
  </si>
  <si>
    <t>Z58r+j*Z58i</t>
    <phoneticPr fontId="1"/>
  </si>
  <si>
    <t>(Z1r+Z58r)^2+(Z1i+Z58i)^2</t>
    <phoneticPr fontId="1"/>
  </si>
  <si>
    <t>(Z58r+j*Z58i)*(Z1r+Z58r-j*(Z1i+Z58i))</t>
    <phoneticPr fontId="1"/>
  </si>
  <si>
    <t>Z67=</t>
    <phoneticPr fontId="1"/>
  </si>
  <si>
    <t>(Z6r+Z7r)+j*(Z6i+Z7i)</t>
    <phoneticPr fontId="1"/>
  </si>
  <si>
    <t>(Z6r+Z7r)^2+(Z6i+Z7i)^2</t>
    <phoneticPr fontId="1"/>
  </si>
  <si>
    <t>(Z6r+j*Z6i)*(Z7r+j*Z7i)</t>
    <phoneticPr fontId="1"/>
  </si>
  <si>
    <t>(Z6r+j*Z6i)*(Z7r+j*Z7i)*(Z6r+Z7r-j*(Z6i+Z7i))</t>
    <phoneticPr fontId="1"/>
  </si>
  <si>
    <t>(Z6r*Z7r-Z6i*Z7i+j*(Z6i*Z7r+Z6r*Z7i))*(Z6r+Z7r-j*(Z6i+Z7i))</t>
    <phoneticPr fontId="1"/>
  </si>
  <si>
    <t>Z67r+j*Z67i</t>
    <phoneticPr fontId="1"/>
  </si>
  <si>
    <t>Z58=</t>
  </si>
  <si>
    <t>(Z5r*Z8r-Z5i*Z8i)*(Z5r+Z8r)+(Z5i+Z8i)*(Z5i*Z8r+Z5r*Z8i)</t>
  </si>
  <si>
    <t>(Z5i*Z8r+Z5r*Z8i)*(Z5r+Z8r)-(Z5i+Z8i)*(Z5r*Z8r-Z5i*Z8i)</t>
  </si>
  <si>
    <t>(Z5r+Z8r)^2+(Z5i+Z8i)^2</t>
  </si>
  <si>
    <t>Z1+Z3+Z67</t>
    <phoneticPr fontId="1"/>
  </si>
  <si>
    <t>(Z1r+Z3r+Z67r)+j*(Z1i+Z3i+Z67i)</t>
    <phoneticPr fontId="1"/>
  </si>
  <si>
    <t>Z8r+j*Z8i</t>
    <phoneticPr fontId="1"/>
  </si>
  <si>
    <t>Z58r*(Z1r+Z58r)+Z58i*(Z1i+Z58i)</t>
    <phoneticPr fontId="1"/>
  </si>
  <si>
    <t>+j*(Z58i*(Z1r+Z58r)-Z58r*(Z1i+Z58i))</t>
    <phoneticPr fontId="1"/>
  </si>
  <si>
    <t>Ei*(</t>
    <phoneticPr fontId="1"/>
  </si>
  <si>
    <t>)</t>
    <phoneticPr fontId="1"/>
  </si>
  <si>
    <t>K1r</t>
    <phoneticPr fontId="1"/>
  </si>
  <si>
    <t>(Z8r+j*Z8i)*(Z8r-j*Z8i)</t>
    <phoneticPr fontId="1"/>
  </si>
  <si>
    <t>(Z8r-Z1r+j*(Z8i-Z1i))*(Z8r-j*Z8i)</t>
    <phoneticPr fontId="1"/>
  </si>
  <si>
    <t>Z8r^2+Z8i^2</t>
    <phoneticPr fontId="1"/>
  </si>
  <si>
    <t>Z8r*(Z8r-Z1r)+Z8i*(Z8i-Z1i)</t>
    <phoneticPr fontId="1"/>
  </si>
  <si>
    <t>Z8r*(Z8i-Z1i)-Z8i*(Z8r-Z1r)</t>
    <phoneticPr fontId="1"/>
  </si>
  <si>
    <t>Ec1*(</t>
    <phoneticPr fontId="1"/>
  </si>
  <si>
    <t>K2r</t>
    <phoneticPr fontId="1"/>
  </si>
  <si>
    <t>Ei*(K1r+j*K1j)*(K2r+j*K2i)</t>
    <phoneticPr fontId="1"/>
  </si>
  <si>
    <t>Ei*(K1r*K2r-K1i*K2i+j*(k1i*K2r+K1r*K2i))</t>
    <phoneticPr fontId="1"/>
  </si>
  <si>
    <t>K1i</t>
    <phoneticPr fontId="1"/>
  </si>
  <si>
    <t>K2i</t>
    <phoneticPr fontId="1"/>
  </si>
  <si>
    <t>K12r</t>
    <phoneticPr fontId="1"/>
  </si>
  <si>
    <t>+J*</t>
    <phoneticPr fontId="1"/>
  </si>
  <si>
    <t>K12i</t>
    <phoneticPr fontId="1"/>
  </si>
  <si>
    <t>(Z8r-Z1r-Z3r+j*(Z8i-Z1i-Z3i))*(Z8r-Z1r-j*(Z8i-Z1i))</t>
    <phoneticPr fontId="1"/>
  </si>
  <si>
    <t>((Z8r-Z1r+j*(Z8i-Z1i))((Z8r-Z1r-j*(Z8i-Z1i)</t>
    <phoneticPr fontId="1"/>
  </si>
  <si>
    <t>(Z8r-Z1r)^2+(Z8i-Z1i)^2</t>
    <phoneticPr fontId="1"/>
  </si>
  <si>
    <t>(Z8r-Z1r-Z3r)*(Z8r-Z1r)+(Z8i-Z1i-Z3i)*(Z8i-Z1i))</t>
    <phoneticPr fontId="1"/>
  </si>
  <si>
    <t>Ec2*(</t>
    <phoneticPr fontId="1"/>
  </si>
  <si>
    <t>(Z8i-Z1i-Z3i))*(Z8r-Z1r)-(Z8i-Z1i)*(Z8r-Z1r-Z3r)</t>
    <phoneticPr fontId="1"/>
  </si>
  <si>
    <t>K3r</t>
    <phoneticPr fontId="1"/>
  </si>
  <si>
    <t>K3i</t>
    <phoneticPr fontId="1"/>
  </si>
  <si>
    <t>Ei*(K12r+j*K12i)*(K3r+j*K3i)</t>
    <phoneticPr fontId="1"/>
  </si>
  <si>
    <t>=Ei*(K12r*K3r-K12i*K3i+j*(K12i*K3r+K12r*K3i)</t>
    <phoneticPr fontId="1"/>
  </si>
  <si>
    <t>K23r</t>
    <phoneticPr fontId="1"/>
  </si>
  <si>
    <t>K23i</t>
    <phoneticPr fontId="1"/>
  </si>
  <si>
    <t>Ec3*</t>
    <phoneticPr fontId="1"/>
  </si>
  <si>
    <t>Ec3*(</t>
    <phoneticPr fontId="1"/>
  </si>
  <si>
    <t>(Z3r+Ro)^2+Z3i^2</t>
    <phoneticPr fontId="1"/>
  </si>
  <si>
    <t>Ro*(Z3r+Ro)</t>
    <phoneticPr fontId="1"/>
  </si>
  <si>
    <t>Z3r+j*Z3i+Ro</t>
    <phoneticPr fontId="1"/>
  </si>
  <si>
    <t>(Z3r+Ro+j*Z3i)*(Z3r+Ro-j*Z3i)</t>
    <phoneticPr fontId="1"/>
  </si>
  <si>
    <t>Ro*(Z3r+Ro-j*Z3i)</t>
    <phoneticPr fontId="1"/>
  </si>
  <si>
    <t>Ro*(-Z3i)</t>
    <phoneticPr fontId="1"/>
  </si>
  <si>
    <t>K4r</t>
    <phoneticPr fontId="1"/>
  </si>
  <si>
    <t>K4i</t>
    <phoneticPr fontId="1"/>
  </si>
  <si>
    <t>=Ei*(K23r+j*K23i)*(K4r+j*K4i)</t>
    <phoneticPr fontId="1"/>
  </si>
  <si>
    <t>K23r*K4r-K23i*K4i+j*(K23r*K4i+K23i*K4r)</t>
    <phoneticPr fontId="1"/>
  </si>
  <si>
    <t>＝</t>
    <phoneticPr fontId="1"/>
  </si>
  <si>
    <t>（1+R4*jwC1）*（1-R4*jwC1）</t>
    <phoneticPr fontId="1"/>
  </si>
  <si>
    <t>R4*(1-R4jωC1）</t>
    <phoneticPr fontId="1"/>
  </si>
  <si>
    <t>Ec1*Z67</t>
  </si>
  <si>
    <t>(Z1r+Z3r+Z67r)^2+(Z1i+Z3i+Z67i)^2</t>
    <phoneticPr fontId="1"/>
  </si>
  <si>
    <t>Ec3=</t>
    <phoneticPr fontId="1"/>
  </si>
  <si>
    <t>Ec1*(K13r+j*K13i)</t>
    <phoneticPr fontId="1"/>
  </si>
  <si>
    <t>Ei*(k1r+j*K1i)*(K13r+j*K13i)</t>
    <phoneticPr fontId="1"/>
  </si>
  <si>
    <t>Ei*(K1r*K13r-K1i*K13i)+j*(K1i*K13r+K1r*K13i)</t>
    <phoneticPr fontId="1"/>
  </si>
  <si>
    <t>(Z1r+Z3r+Z67r+j*(Z1i+Z3i+Z67i))*(Z1r+Z3r+Z67r-j*(Z1i+Z3i+Z67i)</t>
    <phoneticPr fontId="1"/>
  </si>
  <si>
    <t>Ec1よりダイレクト算出</t>
    <rPh sb="10" eb="12">
      <t>サンシュツ</t>
    </rPh>
    <phoneticPr fontId="1"/>
  </si>
  <si>
    <t>Ec1*(Z67r+j*Z67i)*(Z1r+Z3r+Z67r-j*(Z1i+Z3i+Z67i)）</t>
    <phoneticPr fontId="1"/>
  </si>
  <si>
    <t>|Ec1|</t>
    <phoneticPr fontId="1"/>
  </si>
  <si>
    <t>|Ec2|＝</t>
    <phoneticPr fontId="1"/>
  </si>
  <si>
    <t>*|Ec1|</t>
    <phoneticPr fontId="1"/>
  </si>
  <si>
    <t>*|Ei|</t>
    <phoneticPr fontId="1"/>
  </si>
  <si>
    <t>|Ec3|＝</t>
    <phoneticPr fontId="1"/>
  </si>
  <si>
    <t>|Eo|＝</t>
    <phoneticPr fontId="1"/>
  </si>
  <si>
    <t>*|Ec2|</t>
    <phoneticPr fontId="1"/>
  </si>
  <si>
    <t>*|Ec3|</t>
    <phoneticPr fontId="1"/>
  </si>
  <si>
    <t>RIAA</t>
    <phoneticPr fontId="1"/>
  </si>
  <si>
    <t>再生カーブの種類</t>
    <rPh sb="0" eb="2">
      <t>サイセイ</t>
    </rPh>
    <rPh sb="6" eb="8">
      <t>シュルイ</t>
    </rPh>
    <phoneticPr fontId="1"/>
  </si>
  <si>
    <t>Low-Limit</t>
    <phoneticPr fontId="1"/>
  </si>
  <si>
    <t>Turn-Over</t>
    <phoneticPr fontId="1"/>
  </si>
  <si>
    <t>Roll-Off</t>
    <phoneticPr fontId="1"/>
  </si>
  <si>
    <t>µSec</t>
    <phoneticPr fontId="1"/>
  </si>
  <si>
    <t>Z2=</t>
    <phoneticPr fontId="1"/>
  </si>
  <si>
    <t>Z3=</t>
    <phoneticPr fontId="1"/>
  </si>
  <si>
    <t>Z4=</t>
    <phoneticPr fontId="1"/>
  </si>
  <si>
    <t>Z5=</t>
    <phoneticPr fontId="1"/>
  </si>
  <si>
    <t>Z6=</t>
    <phoneticPr fontId="1"/>
  </si>
  <si>
    <t>Z7=</t>
    <phoneticPr fontId="1"/>
  </si>
  <si>
    <t>Z8=</t>
  </si>
  <si>
    <t>Z6//Z7=</t>
    <phoneticPr fontId="1"/>
  </si>
  <si>
    <t>Z5//Z8＝</t>
    <phoneticPr fontId="1"/>
  </si>
  <si>
    <t>＋J*</t>
    <phoneticPr fontId="1"/>
  </si>
  <si>
    <t>Ec1=Ei*(</t>
    <phoneticPr fontId="1"/>
  </si>
  <si>
    <t>Ec2=Ei*(</t>
  </si>
  <si>
    <t>Ec3=Ei*(</t>
  </si>
  <si>
    <t>Eo=Ei*(</t>
    <phoneticPr fontId="1"/>
  </si>
  <si>
    <t>Ztotal=</t>
    <phoneticPr fontId="1"/>
  </si>
  <si>
    <t>|Ec1|=|Ei|*</t>
    <phoneticPr fontId="1"/>
  </si>
  <si>
    <t>|Ec2|=|Ei|*</t>
  </si>
  <si>
    <t>|Ec3|=|Ei|*</t>
  </si>
  <si>
    <t>|Eo|=|Ei|*</t>
    <phoneticPr fontId="1"/>
  </si>
  <si>
    <t>｜Ztotal｜=</t>
    <phoneticPr fontId="1"/>
  </si>
  <si>
    <t>｜Z1｜=</t>
    <phoneticPr fontId="1"/>
  </si>
  <si>
    <t>｜Z2｜=</t>
    <phoneticPr fontId="1"/>
  </si>
  <si>
    <t>｜Z3｜=</t>
    <phoneticPr fontId="1"/>
  </si>
  <si>
    <t>｜Z4｜=</t>
    <phoneticPr fontId="1"/>
  </si>
  <si>
    <t>｜Z5｜=</t>
    <phoneticPr fontId="1"/>
  </si>
  <si>
    <t>｜Z6｜=</t>
    <phoneticPr fontId="1"/>
  </si>
  <si>
    <t>｜Z7｜=</t>
    <phoneticPr fontId="1"/>
  </si>
  <si>
    <t>｜Z8｜=</t>
    <phoneticPr fontId="1"/>
  </si>
  <si>
    <t>｜Z6//Z7｜=</t>
    <phoneticPr fontId="1"/>
  </si>
  <si>
    <t>｜Z5//Z8｜＝</t>
    <phoneticPr fontId="1"/>
  </si>
  <si>
    <t>ｆ＝</t>
    <phoneticPr fontId="1"/>
  </si>
  <si>
    <t>｜Eo（Ideal）｜</t>
    <phoneticPr fontId="1"/>
  </si>
  <si>
    <t>dB</t>
    <phoneticPr fontId="1"/>
  </si>
  <si>
    <t>LCR定数決定のための重要な考え方</t>
    <rPh sb="3" eb="5">
      <t>テイスウ</t>
    </rPh>
    <rPh sb="5" eb="7">
      <t>ケッテイ</t>
    </rPh>
    <rPh sb="11" eb="13">
      <t>ジュウヨウ</t>
    </rPh>
    <rPh sb="14" eb="15">
      <t>カンガ</t>
    </rPh>
    <rPh sb="16" eb="17">
      <t>カタ</t>
    </rPh>
    <phoneticPr fontId="1"/>
  </si>
  <si>
    <t>1段目、2段目は切り離しが可能でその負荷はRoである</t>
    <rPh sb="1" eb="3">
      <t>ダンメ</t>
    </rPh>
    <rPh sb="5" eb="7">
      <t>ダンメ</t>
    </rPh>
    <rPh sb="8" eb="9">
      <t>キ</t>
    </rPh>
    <rPh sb="10" eb="11">
      <t>ハナ</t>
    </rPh>
    <rPh sb="13" eb="15">
      <t>カノウ</t>
    </rPh>
    <rPh sb="18" eb="20">
      <t>フカ</t>
    </rPh>
    <phoneticPr fontId="1"/>
  </si>
  <si>
    <t>各段にRoを接続したときに各段の入力側から見たインピーダンスは周波数に依存しない設定とする</t>
    <rPh sb="0" eb="2">
      <t>カクダン</t>
    </rPh>
    <rPh sb="6" eb="8">
      <t>セツゾク</t>
    </rPh>
    <rPh sb="13" eb="15">
      <t>カクダン</t>
    </rPh>
    <rPh sb="16" eb="18">
      <t>ニュウリョク</t>
    </rPh>
    <rPh sb="18" eb="19">
      <t>ガワ</t>
    </rPh>
    <rPh sb="21" eb="22">
      <t>ミ</t>
    </rPh>
    <rPh sb="31" eb="34">
      <t>シュウハスウ</t>
    </rPh>
    <rPh sb="35" eb="37">
      <t>イゾン</t>
    </rPh>
    <rPh sb="40" eb="42">
      <t>セッテイ</t>
    </rPh>
    <phoneticPr fontId="1"/>
  </si>
  <si>
    <t>Ro^2=Z1（Z1+2Z5)</t>
    <phoneticPr fontId="1"/>
  </si>
  <si>
    <t>Z1,Z5はブリッジT回路をΔ-Y変換したもの</t>
    <rPh sb="11" eb="13">
      <t>カイロ</t>
    </rPh>
    <rPh sb="17" eb="19">
      <t>ヘンカン</t>
    </rPh>
    <phoneticPr fontId="1"/>
  </si>
  <si>
    <t>R11とC4は考慮からとりあえず外す</t>
    <rPh sb="7" eb="9">
      <t>コウリョ</t>
    </rPh>
    <rPh sb="16" eb="17">
      <t>ハズ</t>
    </rPh>
    <phoneticPr fontId="1"/>
  </si>
  <si>
    <t>この式が周波数に依存せずに常に成り立つためには</t>
    <rPh sb="2" eb="3">
      <t>シキ</t>
    </rPh>
    <rPh sb="4" eb="7">
      <t>シュウハスウ</t>
    </rPh>
    <rPh sb="8" eb="10">
      <t>イゾン</t>
    </rPh>
    <rPh sb="13" eb="14">
      <t>ツネ</t>
    </rPh>
    <rPh sb="15" eb="16">
      <t>ナ</t>
    </rPh>
    <rPh sb="17" eb="18">
      <t>タ</t>
    </rPh>
    <phoneticPr fontId="1"/>
  </si>
  <si>
    <t>Ro^2＝R1*(R1+2*R3)＝L1/C1</t>
    <phoneticPr fontId="1"/>
  </si>
  <si>
    <t>R1＝Ro*(K-1)/(K+1)</t>
    <phoneticPr fontId="1"/>
  </si>
  <si>
    <t>R3=Ro*2K/(K^2-1)</t>
    <phoneticPr fontId="1"/>
  </si>
  <si>
    <t>3180μSec</t>
    <phoneticPr fontId="1"/>
  </si>
  <si>
    <t>318μSec</t>
    <phoneticPr fontId="1"/>
  </si>
  <si>
    <t>より下がり始め</t>
    <phoneticPr fontId="1"/>
  </si>
  <si>
    <t xml:space="preserve">T1 = KC1Ro/(K - 1) </t>
    <phoneticPr fontId="1"/>
  </si>
  <si>
    <t xml:space="preserve">T2 = C1Ro/(K - 1) </t>
    <phoneticPr fontId="1"/>
  </si>
  <si>
    <t>で 1/Kになる</t>
    <phoneticPr fontId="1"/>
  </si>
  <si>
    <t>K＝</t>
    <phoneticPr fontId="1"/>
  </si>
  <si>
    <t>T1/T2</t>
    <phoneticPr fontId="1"/>
  </si>
  <si>
    <t>R1＝</t>
    <phoneticPr fontId="1"/>
  </si>
  <si>
    <t>R3＝</t>
    <phoneticPr fontId="1"/>
  </si>
  <si>
    <t>T1/T2=(KC1Ro/(K-1)/(C1Ro/（K-1））</t>
    <phoneticPr fontId="1"/>
  </si>
  <si>
    <t>T2*(K-1)/Ro</t>
    <phoneticPr fontId="1"/>
  </si>
  <si>
    <t>T1=</t>
    <phoneticPr fontId="1"/>
  </si>
  <si>
    <t>T2=</t>
  </si>
  <si>
    <t>T3=</t>
  </si>
  <si>
    <t>μSec</t>
    <phoneticPr fontId="1"/>
  </si>
  <si>
    <t>Sec</t>
    <phoneticPr fontId="1"/>
  </si>
  <si>
    <t>C1*Ro^2</t>
    <phoneticPr fontId="1"/>
  </si>
  <si>
    <t>ターンオーバー</t>
    <phoneticPr fontId="1"/>
  </si>
  <si>
    <t>＝R2*(R2）＝L2/C2</t>
    <phoneticPr fontId="1"/>
  </si>
  <si>
    <t>T3＝</t>
    <phoneticPr fontId="1"/>
  </si>
  <si>
    <t>C2*Ro</t>
    <phoneticPr fontId="1"/>
  </si>
  <si>
    <t>C2＝</t>
    <phoneticPr fontId="1"/>
  </si>
  <si>
    <t>Ro/T3</t>
    <phoneticPr fontId="1"/>
  </si>
  <si>
    <t>L2＝</t>
    <phoneticPr fontId="1"/>
  </si>
  <si>
    <t>C2*Ro^2</t>
    <phoneticPr fontId="1"/>
  </si>
  <si>
    <t>Z1</t>
    <phoneticPr fontId="1"/>
  </si>
  <si>
    <t>Z2</t>
  </si>
  <si>
    <t>Z5</t>
  </si>
  <si>
    <t>Z8</t>
  </si>
  <si>
    <t>Real</t>
    <phoneticPr fontId="1"/>
  </si>
  <si>
    <t>Image</t>
    <phoneticPr fontId="1"/>
  </si>
  <si>
    <t>norm</t>
    <phoneticPr fontId="1"/>
  </si>
  <si>
    <t>Ztotal</t>
    <phoneticPr fontId="1"/>
  </si>
  <si>
    <t>R1=600*(10-1)/(10+1)＝490.91　（Ω）</t>
  </si>
  <si>
    <t>R3=600*2*10/(10^2-1)＝121.21　（Ω）</t>
  </si>
  <si>
    <t>L1=R0^2*C1＝1.72　　（H）</t>
  </si>
  <si>
    <t>K</t>
    <phoneticPr fontId="1"/>
  </si>
  <si>
    <t>T1＝K*C1*Ro/(K-1) 　　　　　</t>
    <phoneticPr fontId="1"/>
  </si>
  <si>
    <t>C1=T1/Ro*(K-1)/K</t>
    <phoneticPr fontId="1"/>
  </si>
  <si>
    <r>
      <t>C1=T1*(K-1)/(K*Ro)=3180/1000000*0.9/600</t>
    </r>
    <r>
      <rPr>
        <sz val="12"/>
        <color rgb="FF000000"/>
        <rFont val="ＭＳ ゴシック"/>
        <family val="3"/>
        <charset val="128"/>
      </rPr>
      <t>＝</t>
    </r>
    <r>
      <rPr>
        <sz val="12"/>
        <color rgb="FF000000"/>
        <rFont val="Verdana"/>
        <family val="2"/>
      </rPr>
      <t>0.0000477</t>
    </r>
    <r>
      <rPr>
        <sz val="12"/>
        <color rgb="FF000000"/>
        <rFont val="ＭＳ ゴシック"/>
        <family val="3"/>
        <charset val="128"/>
      </rPr>
      <t>　　（</t>
    </r>
    <r>
      <rPr>
        <sz val="12"/>
        <color rgb="FF000000"/>
        <rFont val="Verdana"/>
        <family val="2"/>
      </rPr>
      <t>F</t>
    </r>
    <r>
      <rPr>
        <sz val="12"/>
        <color rgb="FF000000"/>
        <rFont val="ＭＳ ゴシック"/>
        <family val="3"/>
        <charset val="128"/>
      </rPr>
      <t>）</t>
    </r>
    <phoneticPr fontId="1"/>
  </si>
  <si>
    <t>誤差(dB)</t>
    <rPh sb="0" eb="2">
      <t>ゴサ</t>
    </rPh>
    <phoneticPr fontId="1"/>
  </si>
  <si>
    <t>計算値</t>
    <rPh sb="0" eb="3">
      <t>ケイサンチ</t>
    </rPh>
    <phoneticPr fontId="1"/>
  </si>
  <si>
    <t>Result</t>
    <phoneticPr fontId="1"/>
  </si>
  <si>
    <t>【RIAA</t>
    <phoneticPr fontId="1"/>
  </si>
  <si>
    <t>C2=</t>
    <phoneticPr fontId="1"/>
  </si>
  <si>
    <t>C2</t>
    <phoneticPr fontId="1"/>
  </si>
  <si>
    <t>L2</t>
    <phoneticPr fontId="1"/>
  </si>
  <si>
    <t>Z6</t>
    <phoneticPr fontId="1"/>
  </si>
  <si>
    <t>Z7</t>
  </si>
  <si>
    <t>R2*(2R2*R22+R22^2+(ωL2)^2)</t>
    <phoneticPr fontId="1"/>
  </si>
  <si>
    <t>(2R2+R22)^2+(ωL2)^2</t>
    <phoneticPr fontId="1"/>
  </si>
  <si>
    <t>2R2^2*ωL2</t>
    <phoneticPr fontId="1"/>
  </si>
  <si>
    <t>Z3</t>
  </si>
  <si>
    <t>Z4</t>
  </si>
  <si>
    <t>R2^2*(2R2+R22）</t>
    <phoneticPr fontId="1"/>
  </si>
  <si>
    <t>-R2^2*ωL2</t>
    <phoneticPr fontId="1"/>
  </si>
  <si>
    <t>Z6//Z7</t>
    <phoneticPr fontId="1"/>
  </si>
  <si>
    <t>(Z6r*Z7r-Z6i*Z7i)*(Z6r+Z7r)+(Z6i+Z7i)*(Z6i*Z7r+Z6r*Z7i)</t>
    <phoneticPr fontId="1"/>
  </si>
  <si>
    <t>(Z6r+Z7r)^2+(Z6i+Z7i)^2</t>
    <phoneticPr fontId="1"/>
  </si>
  <si>
    <t>(Z6i*Z7r+Z6r*Z7i)*(Z6r+Z7r)-(Z6i+Z7i)*(Z6r*Z7r-Z6i*Z7i)</t>
    <phoneticPr fontId="1"/>
  </si>
  <si>
    <t>|Ec2|=|Ei|*</t>
    <phoneticPr fontId="1"/>
  </si>
  <si>
    <t>|Eo|=|Ei|*</t>
    <phoneticPr fontId="1"/>
  </si>
  <si>
    <r>
      <t>Z67r*(Z1r+Z3r+Z67r)</t>
    </r>
    <r>
      <rPr>
        <sz val="11"/>
        <color rgb="FFFF0000"/>
        <rFont val="ＭＳ Ｐゴシック"/>
        <family val="3"/>
        <charset val="128"/>
      </rPr>
      <t>-</t>
    </r>
    <r>
      <rPr>
        <sz val="11"/>
        <rFont val="ＭＳ Ｐゴシック"/>
        <family val="3"/>
        <charset val="128"/>
      </rPr>
      <t>Z67i*(Z1i+Z3i+Z67i)+j*((Z67i*(Z1r+Z3r+Z67r)-(Z67r*(Z1i+Z3i+Z67i))</t>
    </r>
    <phoneticPr fontId="1"/>
  </si>
  <si>
    <t>Ec3=Ec2*(Z6//Z7)/(Z3+Z6//Z7)</t>
    <phoneticPr fontId="1"/>
  </si>
  <si>
    <t>Ec3=Ec2*(Z67r+j*Z67i)/(Z3r+j*Z3i+Z67r+j*Z67i)</t>
    <phoneticPr fontId="1"/>
  </si>
  <si>
    <t>Ec3=Ec2*(Z67r+j*Z67i)/((Z3r+Z67r)+j*(Z3i+Z67i))</t>
    <phoneticPr fontId="1"/>
  </si>
  <si>
    <t>REAL</t>
    <phoneticPr fontId="1"/>
  </si>
  <si>
    <t>image</t>
    <phoneticPr fontId="1"/>
  </si>
  <si>
    <t>分母</t>
    <rPh sb="0" eb="2">
      <t>ブンボ</t>
    </rPh>
    <phoneticPr fontId="1"/>
  </si>
  <si>
    <t>Ec3=Ec2*(Z67r+j*Z67i)*((Z3r+Z67r)-j*(Z3i＋Z67i))/((Z3r+Z67r)^2+(Z3i+Z67i)^2)</t>
    <phoneticPr fontId="1"/>
  </si>
  <si>
    <t>REAL分子</t>
    <rPh sb="4" eb="6">
      <t>ブンシ</t>
    </rPh>
    <phoneticPr fontId="1"/>
  </si>
  <si>
    <t>image分子</t>
    <rPh sb="5" eb="7">
      <t>ブンシ</t>
    </rPh>
    <phoneticPr fontId="1"/>
  </si>
  <si>
    <t>((Z3r+Z67r)^2+(Z3i+Z67i)^2)</t>
    <phoneticPr fontId="1"/>
  </si>
  <si>
    <t>Eo=Ec3*Ro/(Ro+Z3)</t>
    <phoneticPr fontId="1"/>
  </si>
  <si>
    <t>Eo=(Ec3r+j*Ec3i)*Ro/(Ro+Z3r+j*Z3i)</t>
    <phoneticPr fontId="1"/>
  </si>
  <si>
    <t>Eo=(Ec3r+j*Ec3i)*Ro*((Ro+Z3r)-j*Z3i)/((Ro+Z3r)^2+Z3i^2)</t>
    <phoneticPr fontId="1"/>
  </si>
  <si>
    <t>Eo=Ro*(Ec3r+j*Ec3i)*((Ro+Z3r)-j*Z3i)/((Ro+Z3r)^2+Z3i^2)</t>
    <phoneticPr fontId="1"/>
  </si>
  <si>
    <t>Eo(Real)=Ro*(Ec3r*(Ro+Z3r)+Z3i*Ec3i)/((Ro+Z3r)^2+Z3i^2)</t>
    <phoneticPr fontId="1"/>
  </si>
  <si>
    <t>Eo(Image)=Ro*j*(Ec3i*(Ro+Z3r)-Z3i*Ec3r)/((Ro+Z3r)^2+Z3i^2)</t>
    <phoneticPr fontId="1"/>
  </si>
  <si>
    <t>Eo(dB)</t>
    <phoneticPr fontId="1"/>
  </si>
  <si>
    <r>
      <t>Ec3=Ec2*((Z67r*(Z3r+Z67r)+Z67i*(Z3i＋Z67i))+j*(Z67i*(Z3r+Z67r)</t>
    </r>
    <r>
      <rPr>
        <b/>
        <sz val="11"/>
        <color rgb="FFFF0000"/>
        <rFont val="ＭＳ Ｐゴシック"/>
        <family val="3"/>
        <charset val="128"/>
      </rPr>
      <t>-</t>
    </r>
    <r>
      <rPr>
        <sz val="11"/>
        <rFont val="ＭＳ Ｐゴシック"/>
        <family val="3"/>
        <charset val="128"/>
      </rPr>
      <t>Z67r*(Z3i＋Z67i)))/((Z3r+Z67r)^2+(Z3i+Z67i)^2)</t>
    </r>
    <phoneticPr fontId="1"/>
  </si>
  <si>
    <r>
      <t>Ec3=(Ec2r+j*Ec2i)*((Z67r*(Z3r+Z67r)+Z67i*(Z3i＋Z67i))+j*(Z67i*(Z3r+Z67r)</t>
    </r>
    <r>
      <rPr>
        <b/>
        <sz val="11"/>
        <color rgb="FFFF0000"/>
        <rFont val="ＭＳ Ｐゴシック"/>
        <family val="3"/>
        <charset val="128"/>
      </rPr>
      <t>-</t>
    </r>
    <r>
      <rPr>
        <sz val="11"/>
        <rFont val="ＭＳ Ｐゴシック"/>
        <family val="3"/>
        <charset val="128"/>
      </rPr>
      <t>Z67r*(Z3i＋Z67i)))/((Z3r+Z67r)^2+(Z3i+Z67i)^2)</t>
    </r>
    <phoneticPr fontId="1"/>
  </si>
  <si>
    <r>
      <t>Ec3=(Ec2r*((Z67r*(Z3r+Z67r)+Z67i*(Z3i＋Z67i))-Ec2i*(Z67i*(Z3r+Z67r)</t>
    </r>
    <r>
      <rPr>
        <sz val="11"/>
        <color rgb="FFFF0000"/>
        <rFont val="ＭＳ Ｐゴシック"/>
        <family val="3"/>
        <charset val="128"/>
      </rPr>
      <t>+Z67r*(Z3i＋Z67i)</t>
    </r>
    <r>
      <rPr>
        <sz val="11"/>
        <rFont val="ＭＳ Ｐゴシック"/>
        <family val="3"/>
        <charset val="128"/>
      </rPr>
      <t>))</t>
    </r>
    <phoneticPr fontId="1"/>
  </si>
  <si>
    <r>
      <t>Ec3=j*((Ec2i*((Z67r*(Z3r+Z67r)+Z67i*(Z3i＋Z67i))+Ec2r*(Z67i*(Z3r+Z67r)</t>
    </r>
    <r>
      <rPr>
        <sz val="11"/>
        <color rgb="FFFF0000"/>
        <rFont val="ＭＳ Ｐゴシック"/>
        <family val="3"/>
        <charset val="128"/>
      </rPr>
      <t>+Z67r*(Z3i＋Z67i)</t>
    </r>
    <r>
      <rPr>
        <sz val="11"/>
        <rFont val="ＭＳ Ｐゴシック"/>
        <family val="3"/>
        <charset val="128"/>
      </rPr>
      <t>))</t>
    </r>
    <phoneticPr fontId="1"/>
  </si>
  <si>
    <r>
      <t>Ec3=j*(Ec2i*((Z67r*(Z3r+Z67r)+Z67i*(Z3i＋Z67i))+Ec2r*(Z67i*(Z3r+Z67r)</t>
    </r>
    <r>
      <rPr>
        <sz val="11"/>
        <color rgb="FFFF0000"/>
        <rFont val="ＭＳ Ｐゴシック"/>
        <family val="3"/>
        <charset val="128"/>
      </rPr>
      <t>-Z67r*(Z3i＋Z67i)</t>
    </r>
    <r>
      <rPr>
        <sz val="11"/>
        <rFont val="ＭＳ Ｐゴシック"/>
        <family val="3"/>
        <charset val="128"/>
      </rPr>
      <t>))/((Z3r+Z67r)^2+(Z3i+Z67i)^2)</t>
    </r>
    <phoneticPr fontId="1"/>
  </si>
  <si>
    <r>
      <t>Ec3=(Ec2r*((Z67r*(Z3r+Z67r)+Z67i*(Z3i＋Z67i))-Ec2i*(Z67i*(Z3r+Z67r)</t>
    </r>
    <r>
      <rPr>
        <sz val="11"/>
        <color rgb="FFFF0000"/>
        <rFont val="ＭＳ Ｐゴシック"/>
        <family val="3"/>
        <charset val="128"/>
      </rPr>
      <t>-Z67r*(Z3i＋Z67i)</t>
    </r>
    <r>
      <rPr>
        <sz val="11"/>
        <rFont val="ＭＳ Ｐゴシック"/>
        <family val="3"/>
        <charset val="128"/>
      </rPr>
      <t>))/((Z3r+Z67r)^2+(Z3i+Z67i)^2)</t>
    </r>
    <phoneticPr fontId="1"/>
  </si>
  <si>
    <t>LCR数値代入(dB)</t>
    <rPh sb="3" eb="5">
      <t>スウチ</t>
    </rPh>
    <rPh sb="5" eb="7">
      <t>ダイニュウ</t>
    </rPh>
    <phoneticPr fontId="1"/>
  </si>
  <si>
    <t>理想計算値(dB)</t>
    <rPh sb="0" eb="5">
      <t>リソウケイサンチ</t>
    </rPh>
    <phoneticPr fontId="1"/>
  </si>
  <si>
    <t>Eo 1kHzデータ修正</t>
    <rPh sb="10" eb="12">
      <t>シュウセイ</t>
    </rPh>
    <phoneticPr fontId="1"/>
  </si>
  <si>
    <t>LCR数値代入</t>
    <rPh sb="3" eb="7">
      <t>スウチダイニュウ</t>
    </rPh>
    <phoneticPr fontId="1"/>
  </si>
  <si>
    <t>Imp誤差(対基準)</t>
    <rPh sb="3" eb="5">
      <t>ゴサ</t>
    </rPh>
    <rPh sb="6" eb="7">
      <t>タイ</t>
    </rPh>
    <rPh sb="7" eb="9">
      <t>キジュン</t>
    </rPh>
    <phoneticPr fontId="1"/>
  </si>
  <si>
    <t>Ec2修正値</t>
    <rPh sb="3" eb="6">
      <t>シュウセイチ</t>
    </rPh>
    <phoneticPr fontId="1"/>
  </si>
  <si>
    <t>Ec2修正量</t>
    <rPh sb="3" eb="6">
      <t>シュウセイリョウ</t>
    </rPh>
    <phoneticPr fontId="1"/>
  </si>
  <si>
    <t>レベル誤差(dB)</t>
    <rPh sb="3" eb="5">
      <t>ゴサ</t>
    </rPh>
    <phoneticPr fontId="1"/>
  </si>
  <si>
    <t>【RIAA】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</si>
</sst>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0.0"/>
    <numFmt numFmtId="177" formatCode="0.000"/>
    <numFmt numFmtId="178" formatCode="0.0000"/>
    <numFmt numFmtId="179" formatCode="0.00000000"/>
    <numFmt numFmtId="180" formatCode="0.000_ "/>
    <numFmt numFmtId="181" formatCode="0.0000_ "/>
    <numFmt numFmtId="182" formatCode="0.00000"/>
  </numFmts>
  <fonts count="15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color indexed="1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0"/>
      <name val="Meiryo UI"/>
      <family val="3"/>
      <charset val="128"/>
    </font>
    <font>
      <sz val="12"/>
      <color rgb="FF000000"/>
      <name val="Verdana"/>
      <family val="2"/>
    </font>
    <font>
      <sz val="12"/>
      <color rgb="FF000000"/>
      <name val="ＭＳ ゴシック"/>
      <family val="3"/>
      <charset val="128"/>
    </font>
    <font>
      <sz val="11"/>
      <name val="Meiryo UI"/>
      <family val="3"/>
      <charset val="128"/>
    </font>
    <font>
      <sz val="1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4"/>
      <name val="ＭＳ Ｐゴシック"/>
      <family val="3"/>
      <charset val="128"/>
    </font>
  </fonts>
  <fills count="1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172">
    <xf numFmtId="0" fontId="0" fillId="0" borderId="0" xfId="0"/>
    <xf numFmtId="0" fontId="0" fillId="0" borderId="0" xfId="0" quotePrefix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quotePrefix="1" applyAlignment="1">
      <alignment vertical="center"/>
    </xf>
    <xf numFmtId="0" fontId="0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horizontal="right" vertical="center"/>
    </xf>
    <xf numFmtId="0" fontId="4" fillId="0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ill="1" applyAlignment="1">
      <alignment vertical="center"/>
    </xf>
    <xf numFmtId="0" fontId="5" fillId="0" borderId="0" xfId="0" applyFont="1" applyAlignment="1">
      <alignment horizontal="right" vertical="center"/>
    </xf>
    <xf numFmtId="0" fontId="0" fillId="2" borderId="0" xfId="0" applyFill="1" applyAlignment="1">
      <alignment vertical="center"/>
    </xf>
    <xf numFmtId="0" fontId="0" fillId="5" borderId="0" xfId="0" applyFill="1" applyAlignment="1">
      <alignment vertical="center"/>
    </xf>
    <xf numFmtId="0" fontId="0" fillId="6" borderId="0" xfId="0" applyFill="1" applyBorder="1" applyAlignment="1">
      <alignment vertical="center"/>
    </xf>
    <xf numFmtId="0" fontId="0" fillId="6" borderId="0" xfId="0" applyFill="1" applyAlignment="1">
      <alignment vertical="center"/>
    </xf>
    <xf numFmtId="0" fontId="0" fillId="7" borderId="3" xfId="0" applyFill="1" applyBorder="1" applyAlignment="1">
      <alignment vertical="center"/>
    </xf>
    <xf numFmtId="0" fontId="0" fillId="7" borderId="4" xfId="0" applyFill="1" applyBorder="1" applyAlignment="1">
      <alignment vertical="center"/>
    </xf>
    <xf numFmtId="0" fontId="0" fillId="7" borderId="5" xfId="0" applyFill="1" applyBorder="1" applyAlignment="1">
      <alignment vertical="center"/>
    </xf>
    <xf numFmtId="0" fontId="0" fillId="11" borderId="1" xfId="0" applyFill="1" applyBorder="1" applyAlignment="1">
      <alignment vertical="center"/>
    </xf>
    <xf numFmtId="0" fontId="0" fillId="11" borderId="0" xfId="0" applyFill="1" applyAlignment="1">
      <alignment vertical="center"/>
    </xf>
    <xf numFmtId="0" fontId="0" fillId="11" borderId="0" xfId="0" applyFill="1" applyBorder="1" applyAlignment="1">
      <alignment vertical="center"/>
    </xf>
    <xf numFmtId="0" fontId="0" fillId="11" borderId="1" xfId="0" applyFill="1" applyBorder="1" applyAlignment="1">
      <alignment horizontal="left" vertical="center"/>
    </xf>
    <xf numFmtId="0" fontId="0" fillId="11" borderId="0" xfId="0" quotePrefix="1" applyFill="1" applyAlignment="1">
      <alignment vertical="center"/>
    </xf>
    <xf numFmtId="0" fontId="0" fillId="9" borderId="0" xfId="0" applyFill="1" applyAlignment="1">
      <alignment vertical="center"/>
    </xf>
    <xf numFmtId="176" fontId="0" fillId="0" borderId="0" xfId="0" applyNumberFormat="1" applyAlignment="1">
      <alignment vertical="center"/>
    </xf>
    <xf numFmtId="1" fontId="0" fillId="0" borderId="0" xfId="0" applyNumberFormat="1" applyAlignment="1">
      <alignment vertical="center"/>
    </xf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Fill="1" applyBorder="1" applyAlignment="1">
      <alignment vertical="center"/>
    </xf>
    <xf numFmtId="179" fontId="0" fillId="0" borderId="0" xfId="0" applyNumberFormat="1" applyAlignment="1">
      <alignment vertical="center"/>
    </xf>
    <xf numFmtId="177" fontId="0" fillId="0" borderId="0" xfId="0" applyNumberFormat="1" applyAlignment="1">
      <alignment vertical="center"/>
    </xf>
    <xf numFmtId="0" fontId="7" fillId="0" borderId="0" xfId="1" applyAlignment="1">
      <alignment vertical="center"/>
    </xf>
    <xf numFmtId="0" fontId="9" fillId="0" borderId="0" xfId="0" applyFont="1"/>
    <xf numFmtId="0" fontId="0" fillId="0" borderId="0" xfId="0" applyFill="1" applyBorder="1" applyAlignment="1">
      <alignment horizontal="left" vertical="center"/>
    </xf>
    <xf numFmtId="3" fontId="8" fillId="0" borderId="0" xfId="0" applyNumberFormat="1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8" fillId="0" borderId="0" xfId="0" applyFont="1" applyFill="1" applyBorder="1" applyAlignment="1">
      <alignment horizontal="justify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0" xfId="0" quotePrefix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8" fillId="0" borderId="0" xfId="0" applyFont="1" applyFill="1" applyBorder="1" applyAlignment="1">
      <alignment vertical="center" wrapText="1"/>
    </xf>
    <xf numFmtId="0" fontId="0" fillId="12" borderId="14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4" xfId="0" applyBorder="1" applyAlignment="1">
      <alignment horizontal="center" vertical="center"/>
    </xf>
    <xf numFmtId="0" fontId="0" fillId="12" borderId="14" xfId="0" applyFill="1" applyBorder="1" applyAlignment="1">
      <alignment horizontal="center" vertical="center"/>
    </xf>
    <xf numFmtId="0" fontId="0" fillId="10" borderId="14" xfId="0" applyFill="1" applyBorder="1" applyAlignment="1">
      <alignment horizontal="center" vertical="center"/>
    </xf>
    <xf numFmtId="177" fontId="0" fillId="0" borderId="0" xfId="0" quotePrefix="1" applyNumberFormat="1" applyAlignment="1">
      <alignment vertical="center"/>
    </xf>
    <xf numFmtId="180" fontId="0" fillId="13" borderId="0" xfId="0" applyNumberFormat="1" applyFill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1" fillId="0" borderId="0" xfId="0" quotePrefix="1" applyFont="1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179" fontId="0" fillId="0" borderId="0" xfId="0" quotePrefix="1" applyNumberFormat="1" applyAlignment="1">
      <alignment vertical="center"/>
    </xf>
    <xf numFmtId="0" fontId="0" fillId="4" borderId="0" xfId="0" applyFill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justify" vertical="center" wrapText="1"/>
    </xf>
    <xf numFmtId="0" fontId="0" fillId="0" borderId="14" xfId="0" applyBorder="1" applyAlignment="1">
      <alignment horizontal="center" vertical="center"/>
    </xf>
    <xf numFmtId="0" fontId="0" fillId="12" borderId="14" xfId="0" applyFill="1" applyBorder="1" applyAlignment="1">
      <alignment horizontal="center" vertical="center"/>
    </xf>
    <xf numFmtId="0" fontId="0" fillId="0" borderId="0" xfId="0" quotePrefix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181" fontId="0" fillId="0" borderId="0" xfId="0" applyNumberFormat="1" applyAlignment="1">
      <alignment vertical="center"/>
    </xf>
    <xf numFmtId="182" fontId="0" fillId="0" borderId="0" xfId="0" applyNumberFormat="1" applyAlignment="1">
      <alignment vertical="center"/>
    </xf>
    <xf numFmtId="0" fontId="0" fillId="12" borderId="0" xfId="0" applyFill="1" applyAlignment="1">
      <alignment vertical="center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justify" vertical="center" wrapText="1"/>
    </xf>
    <xf numFmtId="0" fontId="0" fillId="14" borderId="0" xfId="0" applyFill="1" applyAlignment="1">
      <alignment horizontal="right" vertical="center"/>
    </xf>
    <xf numFmtId="0" fontId="0" fillId="14" borderId="0" xfId="0" applyFill="1" applyAlignment="1">
      <alignment vertical="center"/>
    </xf>
    <xf numFmtId="0" fontId="0" fillId="14" borderId="0" xfId="0" applyFill="1" applyBorder="1" applyAlignment="1">
      <alignment vertical="center"/>
    </xf>
    <xf numFmtId="0" fontId="2" fillId="14" borderId="0" xfId="0" applyFont="1" applyFill="1" applyAlignment="1">
      <alignment vertical="center"/>
    </xf>
    <xf numFmtId="0" fontId="14" fillId="14" borderId="0" xfId="0" applyFont="1" applyFill="1" applyAlignment="1">
      <alignment vertical="center"/>
    </xf>
    <xf numFmtId="0" fontId="0" fillId="14" borderId="0" xfId="0" applyFont="1" applyFill="1" applyAlignment="1">
      <alignment vertical="center"/>
    </xf>
    <xf numFmtId="0" fontId="5" fillId="14" borderId="0" xfId="0" applyFont="1" applyFill="1" applyAlignment="1">
      <alignment vertical="center"/>
    </xf>
    <xf numFmtId="0" fontId="0" fillId="14" borderId="0" xfId="0" applyFill="1" applyAlignment="1">
      <alignment horizontal="left" vertical="center"/>
    </xf>
    <xf numFmtId="0" fontId="3" fillId="14" borderId="0" xfId="0" applyFont="1" applyFill="1" applyAlignment="1">
      <alignment vertical="center"/>
    </xf>
    <xf numFmtId="0" fontId="3" fillId="14" borderId="0" xfId="0" applyFont="1" applyFill="1" applyAlignment="1">
      <alignment horizontal="center" vertical="center"/>
    </xf>
    <xf numFmtId="0" fontId="0" fillId="14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quotePrefix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14" xfId="0" applyBorder="1" applyAlignment="1">
      <alignment horizontal="center" vertical="center"/>
    </xf>
    <xf numFmtId="0" fontId="0" fillId="12" borderId="14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14" borderId="0" xfId="0" applyFill="1" applyAlignment="1">
      <alignment horizontal="left" vertical="center"/>
    </xf>
    <xf numFmtId="0" fontId="0" fillId="0" borderId="0" xfId="0" applyAlignment="1">
      <alignment vertical="center" wrapText="1"/>
    </xf>
    <xf numFmtId="0" fontId="0" fillId="10" borderId="15" xfId="0" applyFill="1" applyBorder="1" applyAlignment="1">
      <alignment horizontal="center" vertical="center"/>
    </xf>
    <xf numFmtId="0" fontId="0" fillId="10" borderId="16" xfId="0" applyFill="1" applyBorder="1" applyAlignment="1">
      <alignment horizontal="center" vertical="center"/>
    </xf>
    <xf numFmtId="0" fontId="0" fillId="10" borderId="17" xfId="0" applyFill="1" applyBorder="1" applyAlignment="1">
      <alignment horizontal="center" vertical="center"/>
    </xf>
    <xf numFmtId="0" fontId="0" fillId="12" borderId="14" xfId="0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11" borderId="1" xfId="0" applyFill="1" applyBorder="1" applyAlignment="1">
      <alignment horizontal="center" vertical="center"/>
    </xf>
    <xf numFmtId="0" fontId="0" fillId="0" borderId="0" xfId="0" quotePrefix="1" applyAlignment="1">
      <alignment horizontal="center" vertical="center"/>
    </xf>
    <xf numFmtId="0" fontId="0" fillId="11" borderId="0" xfId="0" applyFill="1" applyAlignment="1">
      <alignment horizontal="center" vertical="center"/>
    </xf>
    <xf numFmtId="0" fontId="0" fillId="11" borderId="0" xfId="0" quotePrefix="1" applyFill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11" borderId="2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9" borderId="0" xfId="0" applyFill="1" applyAlignment="1">
      <alignment horizontal="center" vertical="center"/>
    </xf>
    <xf numFmtId="0" fontId="0" fillId="11" borderId="0" xfId="0" quotePrefix="1" applyFill="1" applyBorder="1" applyAlignment="1">
      <alignment horizontal="center" vertical="center"/>
    </xf>
    <xf numFmtId="0" fontId="0" fillId="11" borderId="0" xfId="0" applyFill="1" applyBorder="1" applyAlignment="1">
      <alignment horizontal="center" vertical="center"/>
    </xf>
    <xf numFmtId="0" fontId="0" fillId="9" borderId="0" xfId="0" applyFill="1" applyBorder="1" applyAlignment="1">
      <alignment horizontal="center" vertical="center"/>
    </xf>
    <xf numFmtId="0" fontId="0" fillId="5" borderId="0" xfId="0" quotePrefix="1" applyFill="1" applyAlignment="1">
      <alignment horizontal="center" vertical="center"/>
    </xf>
    <xf numFmtId="0" fontId="0" fillId="0" borderId="0" xfId="0" quotePrefix="1" applyBorder="1" applyAlignment="1">
      <alignment horizontal="center" vertical="center"/>
    </xf>
    <xf numFmtId="0" fontId="4" fillId="14" borderId="0" xfId="0" applyFont="1" applyFill="1" applyAlignment="1">
      <alignment horizontal="left" vertical="center"/>
    </xf>
    <xf numFmtId="0" fontId="0" fillId="14" borderId="0" xfId="0" applyFill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0" fontId="0" fillId="11" borderId="1" xfId="0" quotePrefix="1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0" fillId="3" borderId="0" xfId="0" quotePrefix="1" applyFill="1" applyAlignment="1">
      <alignment horizontal="center" vertical="center"/>
    </xf>
    <xf numFmtId="0" fontId="0" fillId="6" borderId="0" xfId="0" applyFill="1" applyBorder="1" applyAlignment="1">
      <alignment horizontal="center" vertical="center"/>
    </xf>
    <xf numFmtId="0" fontId="0" fillId="6" borderId="0" xfId="0" quotePrefix="1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4" borderId="0" xfId="0" applyFill="1" applyBorder="1" applyAlignment="1">
      <alignment horizontal="center" vertical="center"/>
    </xf>
    <xf numFmtId="0" fontId="0" fillId="4" borderId="0" xfId="0" quotePrefix="1" applyFill="1" applyAlignment="1">
      <alignment horizontal="center" vertical="center"/>
    </xf>
    <xf numFmtId="0" fontId="0" fillId="7" borderId="4" xfId="0" applyFill="1" applyBorder="1" applyAlignment="1">
      <alignment horizontal="center" vertical="center"/>
    </xf>
    <xf numFmtId="0" fontId="0" fillId="9" borderId="4" xfId="0" applyFill="1" applyBorder="1" applyAlignment="1">
      <alignment horizontal="center" vertical="center"/>
    </xf>
    <xf numFmtId="0" fontId="0" fillId="9" borderId="14" xfId="0" applyFill="1" applyBorder="1" applyAlignment="1">
      <alignment horizontal="center" vertical="center"/>
    </xf>
    <xf numFmtId="178" fontId="0" fillId="11" borderId="0" xfId="0" applyNumberFormat="1" applyFill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10" borderId="0" xfId="0" applyFill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8" borderId="0" xfId="0" applyFill="1" applyAlignment="1">
      <alignment horizontal="center" vertical="center"/>
    </xf>
    <xf numFmtId="0" fontId="0" fillId="8" borderId="0" xfId="0" quotePrefix="1" applyFill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8" borderId="2" xfId="0" applyFill="1" applyBorder="1" applyAlignment="1">
      <alignment horizontal="center" vertical="center"/>
    </xf>
    <xf numFmtId="0" fontId="0" fillId="8" borderId="0" xfId="0" applyFill="1" applyBorder="1" applyAlignment="1">
      <alignment horizontal="center" vertical="center"/>
    </xf>
    <xf numFmtId="0" fontId="0" fillId="11" borderId="6" xfId="0" quotePrefix="1" applyFill="1" applyBorder="1" applyAlignment="1">
      <alignment horizontal="center" vertical="center"/>
    </xf>
    <xf numFmtId="0" fontId="0" fillId="11" borderId="7" xfId="0" quotePrefix="1" applyFill="1" applyBorder="1" applyAlignment="1">
      <alignment horizontal="center" vertical="center"/>
    </xf>
    <xf numFmtId="0" fontId="0" fillId="11" borderId="8" xfId="0" quotePrefix="1" applyFill="1" applyBorder="1" applyAlignment="1">
      <alignment horizontal="center" vertical="center"/>
    </xf>
    <xf numFmtId="0" fontId="0" fillId="11" borderId="12" xfId="0" quotePrefix="1" applyFill="1" applyBorder="1" applyAlignment="1">
      <alignment horizontal="center" vertical="center"/>
    </xf>
    <xf numFmtId="0" fontId="0" fillId="11" borderId="10" xfId="0" quotePrefix="1" applyFill="1" applyBorder="1" applyAlignment="1">
      <alignment horizontal="center" vertical="center"/>
    </xf>
    <xf numFmtId="0" fontId="0" fillId="11" borderId="13" xfId="0" quotePrefix="1" applyFill="1" applyBorder="1" applyAlignment="1">
      <alignment horizontal="center" vertical="center"/>
    </xf>
    <xf numFmtId="0" fontId="0" fillId="11" borderId="6" xfId="0" applyFill="1" applyBorder="1" applyAlignment="1">
      <alignment horizontal="center" vertical="center"/>
    </xf>
    <xf numFmtId="0" fontId="0" fillId="11" borderId="7" xfId="0" applyFill="1" applyBorder="1" applyAlignment="1">
      <alignment horizontal="center" vertical="center"/>
    </xf>
    <xf numFmtId="0" fontId="0" fillId="11" borderId="8" xfId="0" applyFill="1" applyBorder="1" applyAlignment="1">
      <alignment horizontal="center" vertical="center"/>
    </xf>
    <xf numFmtId="0" fontId="0" fillId="11" borderId="12" xfId="0" applyFill="1" applyBorder="1" applyAlignment="1">
      <alignment horizontal="center" vertical="center"/>
    </xf>
    <xf numFmtId="0" fontId="0" fillId="11" borderId="10" xfId="0" applyFill="1" applyBorder="1" applyAlignment="1">
      <alignment horizontal="center" vertical="center"/>
    </xf>
    <xf numFmtId="0" fontId="0" fillId="11" borderId="11" xfId="0" applyFill="1" applyBorder="1" applyAlignment="1">
      <alignment horizontal="center" vertical="center"/>
    </xf>
    <xf numFmtId="0" fontId="0" fillId="8" borderId="1" xfId="0" quotePrefix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11" borderId="9" xfId="0" applyFill="1" applyBorder="1" applyAlignment="1">
      <alignment horizontal="center" vertical="center"/>
    </xf>
    <xf numFmtId="0" fontId="0" fillId="2" borderId="0" xfId="0" quotePrefix="1" applyFill="1" applyAlignment="1">
      <alignment horizontal="center" vertical="center"/>
    </xf>
    <xf numFmtId="0" fontId="0" fillId="2" borderId="1" xfId="0" quotePrefix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0" fillId="0" borderId="1" xfId="0" quotePrefix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0" xfId="0" quotePrefix="1" applyFill="1" applyBorder="1" applyAlignment="1">
      <alignment horizontal="center" vertical="center"/>
    </xf>
    <xf numFmtId="0" fontId="0" fillId="11" borderId="13" xfId="0" applyFill="1" applyBorder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/>
    </xf>
    <xf numFmtId="178" fontId="0" fillId="0" borderId="0" xfId="0" applyNumberFormat="1" applyAlignment="1">
      <alignment horizontal="center" vertical="center"/>
    </xf>
    <xf numFmtId="0" fontId="14" fillId="14" borderId="0" xfId="0" applyFont="1" applyFill="1" applyAlignment="1">
      <alignment horizontal="center" vertical="center"/>
    </xf>
    <xf numFmtId="0" fontId="4" fillId="0" borderId="0" xfId="0" applyFont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00FFCC"/>
      <color rgb="FFFFFFCC"/>
      <color rgb="FF66FF66"/>
      <color rgb="FFFF99FF"/>
      <color rgb="FF00CC99"/>
      <color rgb="FF0000FF"/>
      <color rgb="FFFF66FF"/>
      <color rgb="FF66FFFF"/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r>
              <a:rPr lang="en-US" altLang="ja-JP" sz="2000">
                <a:latin typeface="Meiryo UI" panose="020B0604030504040204" pitchFamily="50" charset="-128"/>
                <a:ea typeface="Meiryo UI" panose="020B0604030504040204" pitchFamily="50" charset="-128"/>
              </a:rPr>
              <a:t>RIAA</a:t>
            </a:r>
            <a:r>
              <a:rPr lang="ja-JP" altLang="en-US" sz="2000">
                <a:latin typeface="Meiryo UI" panose="020B0604030504040204" pitchFamily="50" charset="-128"/>
                <a:ea typeface="Meiryo UI" panose="020B0604030504040204" pitchFamily="50" charset="-128"/>
              </a:rPr>
              <a:t>利得　</a:t>
            </a:r>
            <a:r>
              <a:rPr lang="en-US" altLang="ja-JP" sz="2000">
                <a:latin typeface="Meiryo UI" panose="020B0604030504040204" pitchFamily="50" charset="-128"/>
                <a:ea typeface="Meiryo UI" panose="020B0604030504040204" pitchFamily="50" charset="-128"/>
              </a:rPr>
              <a:t>Imp</a:t>
            </a:r>
            <a:r>
              <a:rPr lang="ja-JP" altLang="en-US" sz="2000">
                <a:latin typeface="Meiryo UI" panose="020B0604030504040204" pitchFamily="50" charset="-128"/>
                <a:ea typeface="Meiryo UI" panose="020B0604030504040204" pitchFamily="50" charset="-128"/>
              </a:rPr>
              <a:t>特性</a:t>
            </a:r>
          </a:p>
        </c:rich>
      </c:tx>
      <c:layout>
        <c:manualLayout>
          <c:xMode val="edge"/>
          <c:yMode val="edge"/>
          <c:x val="0.38905408290388382"/>
          <c:y val="4.2158976687662705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9.3350558514557397E-2"/>
          <c:y val="0.14694082289566129"/>
          <c:w val="0.79978532468793395"/>
          <c:h val="0.73502041705827326"/>
        </c:manualLayout>
      </c:layout>
      <c:scatterChart>
        <c:scatterStyle val="smoothMarker"/>
        <c:varyColors val="0"/>
        <c:ser>
          <c:idx val="1"/>
          <c:order val="0"/>
          <c:tx>
            <c:v>理想再生カーブ(dB)</c:v>
          </c:tx>
          <c:spPr>
            <a:ln w="28575" cap="rnd">
              <a:solidFill>
                <a:srgbClr val="FF9933"/>
              </a:solidFill>
              <a:round/>
            </a:ln>
            <a:effectLst/>
          </c:spPr>
          <c:marker>
            <c:symbol val="none"/>
          </c:marker>
          <c:xVal>
            <c:numRef>
              <c:f>'RIAA 理想特性'!$HQ$26:$HQ$86</c:f>
              <c:numCache>
                <c:formatCode>General</c:formatCode>
                <c:ptCount val="61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15</c:v>
                </c:pt>
                <c:pt idx="5">
                  <c:v>17</c:v>
                </c:pt>
                <c:pt idx="6">
                  <c:v>20</c:v>
                </c:pt>
                <c:pt idx="7">
                  <c:v>25</c:v>
                </c:pt>
                <c:pt idx="8">
                  <c:v>30</c:v>
                </c:pt>
                <c:pt idx="9">
                  <c:v>40</c:v>
                </c:pt>
                <c:pt idx="10">
                  <c:v>50</c:v>
                </c:pt>
                <c:pt idx="11">
                  <c:v>60</c:v>
                </c:pt>
                <c:pt idx="12">
                  <c:v>70</c:v>
                </c:pt>
                <c:pt idx="13">
                  <c:v>80</c:v>
                </c:pt>
                <c:pt idx="14">
                  <c:v>90</c:v>
                </c:pt>
                <c:pt idx="15">
                  <c:v>100</c:v>
                </c:pt>
                <c:pt idx="16">
                  <c:v>110</c:v>
                </c:pt>
                <c:pt idx="17">
                  <c:v>120</c:v>
                </c:pt>
                <c:pt idx="18">
                  <c:v>130</c:v>
                </c:pt>
                <c:pt idx="19">
                  <c:v>150</c:v>
                </c:pt>
                <c:pt idx="20">
                  <c:v>170</c:v>
                </c:pt>
                <c:pt idx="21">
                  <c:v>200</c:v>
                </c:pt>
                <c:pt idx="22">
                  <c:v>250</c:v>
                </c:pt>
                <c:pt idx="23">
                  <c:v>300</c:v>
                </c:pt>
                <c:pt idx="24">
                  <c:v>400</c:v>
                </c:pt>
                <c:pt idx="25">
                  <c:v>500</c:v>
                </c:pt>
                <c:pt idx="26">
                  <c:v>600</c:v>
                </c:pt>
                <c:pt idx="27">
                  <c:v>700</c:v>
                </c:pt>
                <c:pt idx="28">
                  <c:v>800</c:v>
                </c:pt>
                <c:pt idx="29">
                  <c:v>900</c:v>
                </c:pt>
                <c:pt idx="30">
                  <c:v>1000</c:v>
                </c:pt>
                <c:pt idx="31">
                  <c:v>1100</c:v>
                </c:pt>
                <c:pt idx="32">
                  <c:v>1200</c:v>
                </c:pt>
                <c:pt idx="33">
                  <c:v>1300</c:v>
                </c:pt>
                <c:pt idx="34">
                  <c:v>1500</c:v>
                </c:pt>
                <c:pt idx="35">
                  <c:v>1700</c:v>
                </c:pt>
                <c:pt idx="36">
                  <c:v>2000</c:v>
                </c:pt>
                <c:pt idx="37">
                  <c:v>2500</c:v>
                </c:pt>
                <c:pt idx="38">
                  <c:v>3000</c:v>
                </c:pt>
                <c:pt idx="39">
                  <c:v>4000</c:v>
                </c:pt>
                <c:pt idx="40">
                  <c:v>5000</c:v>
                </c:pt>
                <c:pt idx="41">
                  <c:v>6000</c:v>
                </c:pt>
                <c:pt idx="42">
                  <c:v>7000</c:v>
                </c:pt>
                <c:pt idx="43">
                  <c:v>8000</c:v>
                </c:pt>
                <c:pt idx="44">
                  <c:v>9000</c:v>
                </c:pt>
                <c:pt idx="45">
                  <c:v>10000</c:v>
                </c:pt>
                <c:pt idx="46">
                  <c:v>11000</c:v>
                </c:pt>
                <c:pt idx="47">
                  <c:v>12000</c:v>
                </c:pt>
                <c:pt idx="48">
                  <c:v>13000</c:v>
                </c:pt>
                <c:pt idx="49">
                  <c:v>15000</c:v>
                </c:pt>
                <c:pt idx="50">
                  <c:v>17000</c:v>
                </c:pt>
                <c:pt idx="51">
                  <c:v>20000</c:v>
                </c:pt>
                <c:pt idx="52">
                  <c:v>25000</c:v>
                </c:pt>
                <c:pt idx="53">
                  <c:v>30000</c:v>
                </c:pt>
                <c:pt idx="54">
                  <c:v>40000</c:v>
                </c:pt>
                <c:pt idx="55">
                  <c:v>50000</c:v>
                </c:pt>
                <c:pt idx="56">
                  <c:v>60000</c:v>
                </c:pt>
                <c:pt idx="57">
                  <c:v>70000</c:v>
                </c:pt>
                <c:pt idx="58">
                  <c:v>80000</c:v>
                </c:pt>
                <c:pt idx="59">
                  <c:v>90000</c:v>
                </c:pt>
                <c:pt idx="60">
                  <c:v>100000</c:v>
                </c:pt>
              </c:numCache>
            </c:numRef>
          </c:xVal>
          <c:yVal>
            <c:numRef>
              <c:f>'RIAA 理想特性'!$HW$26:$HW$86</c:f>
              <c:numCache>
                <c:formatCode>General</c:formatCode>
                <c:ptCount val="61"/>
                <c:pt idx="0">
                  <c:v>19.743954630169235</c:v>
                </c:pt>
                <c:pt idx="1">
                  <c:v>19.709364349912601</c:v>
                </c:pt>
                <c:pt idx="2">
                  <c:v>19.671799423042266</c:v>
                </c:pt>
                <c:pt idx="3">
                  <c:v>19.631340468690521</c:v>
                </c:pt>
                <c:pt idx="4">
                  <c:v>19.542084321362207</c:v>
                </c:pt>
                <c:pt idx="5">
                  <c:v>19.442318787913806</c:v>
                </c:pt>
                <c:pt idx="6">
                  <c:v>19.274651659279098</c:v>
                </c:pt>
                <c:pt idx="7">
                  <c:v>18.953831608169743</c:v>
                </c:pt>
                <c:pt idx="8">
                  <c:v>18.592057357942604</c:v>
                </c:pt>
                <c:pt idx="9">
                  <c:v>17.790465927170651</c:v>
                </c:pt>
                <c:pt idx="10">
                  <c:v>16.943272977823323</c:v>
                </c:pt>
                <c:pt idx="11">
                  <c:v>16.097516359155676</c:v>
                </c:pt>
                <c:pt idx="12">
                  <c:v>15.27946887672465</c:v>
                </c:pt>
                <c:pt idx="13">
                  <c:v>14.501936855862654</c:v>
                </c:pt>
                <c:pt idx="14">
                  <c:v>13.769851647526906</c:v>
                </c:pt>
                <c:pt idx="15">
                  <c:v>13.083842641777039</c:v>
                </c:pt>
                <c:pt idx="16">
                  <c:v>12.442336300037038</c:v>
                </c:pt>
                <c:pt idx="17">
                  <c:v>11.842734498593474</c:v>
                </c:pt>
                <c:pt idx="18">
                  <c:v>11.282055526849517</c:v>
                </c:pt>
                <c:pt idx="19">
                  <c:v>10.26547742890315</c:v>
                </c:pt>
                <c:pt idx="20">
                  <c:v>9.3702636626110767</c:v>
                </c:pt>
                <c:pt idx="21">
                  <c:v>8.2145382310423969</c:v>
                </c:pt>
                <c:pt idx="22">
                  <c:v>6.6723476202462617</c:v>
                </c:pt>
                <c:pt idx="23">
                  <c:v>5.4802583914792891</c:v>
                </c:pt>
                <c:pt idx="24">
                  <c:v>3.7804733603538239</c:v>
                </c:pt>
                <c:pt idx="25">
                  <c:v>2.6452054340685898</c:v>
                </c:pt>
                <c:pt idx="26">
                  <c:v>1.8389527738227933</c:v>
                </c:pt>
                <c:pt idx="27">
                  <c:v>1.2324012912674007</c:v>
                </c:pt>
                <c:pt idx="28">
                  <c:v>0.75075471810763261</c:v>
                </c:pt>
                <c:pt idx="29">
                  <c:v>0.34917050156254348</c:v>
                </c:pt>
                <c:pt idx="30">
                  <c:v>0</c:v>
                </c:pt>
                <c:pt idx="31">
                  <c:v>-0.31419523957595175</c:v>
                </c:pt>
                <c:pt idx="32">
                  <c:v>-0.60461394058424034</c:v>
                </c:pt>
                <c:pt idx="33">
                  <c:v>-0.8785459844945116</c:v>
                </c:pt>
                <c:pt idx="34">
                  <c:v>-1.3944792850477903</c:v>
                </c:pt>
                <c:pt idx="35">
                  <c:v>-1.883904453521378</c:v>
                </c:pt>
                <c:pt idx="36">
                  <c:v>-2.5873990829306415</c:v>
                </c:pt>
                <c:pt idx="37">
                  <c:v>-3.6989410184794274</c:v>
                </c:pt>
                <c:pt idx="38">
                  <c:v>-4.7387473581096629</c:v>
                </c:pt>
                <c:pt idx="39">
                  <c:v>-6.6037346617791357</c:v>
                </c:pt>
                <c:pt idx="40">
                  <c:v>-8.2080890524048513</c:v>
                </c:pt>
                <c:pt idx="41">
                  <c:v>-9.597319383299709</c:v>
                </c:pt>
                <c:pt idx="42">
                  <c:v>-10.814098570827408</c:v>
                </c:pt>
                <c:pt idx="43">
                  <c:v>-11.892528584776397</c:v>
                </c:pt>
                <c:pt idx="44">
                  <c:v>-12.858756823406868</c:v>
                </c:pt>
                <c:pt idx="45">
                  <c:v>-13.732743746765276</c:v>
                </c:pt>
                <c:pt idx="46">
                  <c:v>-14.529857415902658</c:v>
                </c:pt>
                <c:pt idx="47">
                  <c:v>-15.26208396643435</c:v>
                </c:pt>
                <c:pt idx="48">
                  <c:v>-15.938903374249254</c:v>
                </c:pt>
                <c:pt idx="49">
                  <c:v>-17.155297178949954</c:v>
                </c:pt>
                <c:pt idx="50">
                  <c:v>-18.224595227587624</c:v>
                </c:pt>
                <c:pt idx="51">
                  <c:v>-19.618717979857518</c:v>
                </c:pt>
                <c:pt idx="52">
                  <c:v>-21.540444874513998</c:v>
                </c:pt>
                <c:pt idx="53">
                  <c:v>-23.115091955140802</c:v>
                </c:pt>
                <c:pt idx="54">
                  <c:v>-25.604919258782349</c:v>
                </c:pt>
                <c:pt idx="55">
                  <c:v>-27.538971158937233</c:v>
                </c:pt>
                <c:pt idx="56">
                  <c:v>-29.120340794074206</c:v>
                </c:pt>
                <c:pt idx="57">
                  <c:v>-30.457916088326105</c:v>
                </c:pt>
                <c:pt idx="58">
                  <c:v>-31.616871757430598</c:v>
                </c:pt>
                <c:pt idx="59">
                  <c:v>-32.639316523169796</c:v>
                </c:pt>
                <c:pt idx="60">
                  <c:v>-33.554033034891759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2ED5-42CD-AB28-D6D07C90A4C1}"/>
            </c:ext>
          </c:extLst>
        </c:ser>
        <c:ser>
          <c:idx val="2"/>
          <c:order val="1"/>
          <c:tx>
            <c:v>再生カーブ計算値(dB)</c:v>
          </c:tx>
          <c:spPr>
            <a:ln w="28575" cap="rnd">
              <a:solidFill>
                <a:srgbClr val="00CC99"/>
              </a:solidFill>
              <a:round/>
            </a:ln>
            <a:effectLst/>
          </c:spPr>
          <c:marker>
            <c:symbol val="none"/>
          </c:marker>
          <c:xVal>
            <c:numRef>
              <c:f>'RIAA 理想特性'!$HQ$26:$HQ$86</c:f>
              <c:numCache>
                <c:formatCode>General</c:formatCode>
                <c:ptCount val="61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15</c:v>
                </c:pt>
                <c:pt idx="5">
                  <c:v>17</c:v>
                </c:pt>
                <c:pt idx="6">
                  <c:v>20</c:v>
                </c:pt>
                <c:pt idx="7">
                  <c:v>25</c:v>
                </c:pt>
                <c:pt idx="8">
                  <c:v>30</c:v>
                </c:pt>
                <c:pt idx="9">
                  <c:v>40</c:v>
                </c:pt>
                <c:pt idx="10">
                  <c:v>50</c:v>
                </c:pt>
                <c:pt idx="11">
                  <c:v>60</c:v>
                </c:pt>
                <c:pt idx="12">
                  <c:v>70</c:v>
                </c:pt>
                <c:pt idx="13">
                  <c:v>80</c:v>
                </c:pt>
                <c:pt idx="14">
                  <c:v>90</c:v>
                </c:pt>
                <c:pt idx="15">
                  <c:v>100</c:v>
                </c:pt>
                <c:pt idx="16">
                  <c:v>110</c:v>
                </c:pt>
                <c:pt idx="17">
                  <c:v>120</c:v>
                </c:pt>
                <c:pt idx="18">
                  <c:v>130</c:v>
                </c:pt>
                <c:pt idx="19">
                  <c:v>150</c:v>
                </c:pt>
                <c:pt idx="20">
                  <c:v>170</c:v>
                </c:pt>
                <c:pt idx="21">
                  <c:v>200</c:v>
                </c:pt>
                <c:pt idx="22">
                  <c:v>250</c:v>
                </c:pt>
                <c:pt idx="23">
                  <c:v>300</c:v>
                </c:pt>
                <c:pt idx="24">
                  <c:v>400</c:v>
                </c:pt>
                <c:pt idx="25">
                  <c:v>500</c:v>
                </c:pt>
                <c:pt idx="26">
                  <c:v>600</c:v>
                </c:pt>
                <c:pt idx="27">
                  <c:v>700</c:v>
                </c:pt>
                <c:pt idx="28">
                  <c:v>800</c:v>
                </c:pt>
                <c:pt idx="29">
                  <c:v>900</c:v>
                </c:pt>
                <c:pt idx="30">
                  <c:v>1000</c:v>
                </c:pt>
                <c:pt idx="31">
                  <c:v>1100</c:v>
                </c:pt>
                <c:pt idx="32">
                  <c:v>1200</c:v>
                </c:pt>
                <c:pt idx="33">
                  <c:v>1300</c:v>
                </c:pt>
                <c:pt idx="34">
                  <c:v>1500</c:v>
                </c:pt>
                <c:pt idx="35">
                  <c:v>1700</c:v>
                </c:pt>
                <c:pt idx="36">
                  <c:v>2000</c:v>
                </c:pt>
                <c:pt idx="37">
                  <c:v>2500</c:v>
                </c:pt>
                <c:pt idx="38">
                  <c:v>3000</c:v>
                </c:pt>
                <c:pt idx="39">
                  <c:v>4000</c:v>
                </c:pt>
                <c:pt idx="40">
                  <c:v>5000</c:v>
                </c:pt>
                <c:pt idx="41">
                  <c:v>6000</c:v>
                </c:pt>
                <c:pt idx="42">
                  <c:v>7000</c:v>
                </c:pt>
                <c:pt idx="43">
                  <c:v>8000</c:v>
                </c:pt>
                <c:pt idx="44">
                  <c:v>9000</c:v>
                </c:pt>
                <c:pt idx="45">
                  <c:v>10000</c:v>
                </c:pt>
                <c:pt idx="46">
                  <c:v>11000</c:v>
                </c:pt>
                <c:pt idx="47">
                  <c:v>12000</c:v>
                </c:pt>
                <c:pt idx="48">
                  <c:v>13000</c:v>
                </c:pt>
                <c:pt idx="49">
                  <c:v>15000</c:v>
                </c:pt>
                <c:pt idx="50">
                  <c:v>17000</c:v>
                </c:pt>
                <c:pt idx="51">
                  <c:v>20000</c:v>
                </c:pt>
                <c:pt idx="52">
                  <c:v>25000</c:v>
                </c:pt>
                <c:pt idx="53">
                  <c:v>30000</c:v>
                </c:pt>
                <c:pt idx="54">
                  <c:v>40000</c:v>
                </c:pt>
                <c:pt idx="55">
                  <c:v>50000</c:v>
                </c:pt>
                <c:pt idx="56">
                  <c:v>60000</c:v>
                </c:pt>
                <c:pt idx="57">
                  <c:v>70000</c:v>
                </c:pt>
                <c:pt idx="58">
                  <c:v>80000</c:v>
                </c:pt>
                <c:pt idx="59">
                  <c:v>90000</c:v>
                </c:pt>
                <c:pt idx="60">
                  <c:v>100000</c:v>
                </c:pt>
              </c:numCache>
            </c:numRef>
          </c:xVal>
          <c:yVal>
            <c:numRef>
              <c:f>'RIAA 理想特性'!$HV$26:$HV$86</c:f>
              <c:numCache>
                <c:formatCode>General</c:formatCode>
                <c:ptCount val="61"/>
                <c:pt idx="0">
                  <c:v>19.743952370919011</c:v>
                </c:pt>
                <c:pt idx="1">
                  <c:v>19.709361745222758</c:v>
                </c:pt>
                <c:pt idx="2">
                  <c:v>19.671796453223624</c:v>
                </c:pt>
                <c:pt idx="3">
                  <c:v>19.631337117041586</c:v>
                </c:pt>
                <c:pt idx="4">
                  <c:v>19.542080168008564</c:v>
                </c:pt>
                <c:pt idx="5">
                  <c:v>19.442313801927305</c:v>
                </c:pt>
                <c:pt idx="6">
                  <c:v>19.274645415238481</c:v>
                </c:pt>
                <c:pt idx="7">
                  <c:v>18.953823399649529</c:v>
                </c:pt>
                <c:pt idx="8">
                  <c:v>18.59204752848143</c:v>
                </c:pt>
                <c:pt idx="9">
                  <c:v>17.790454195542203</c:v>
                </c:pt>
                <c:pt idx="10">
                  <c:v>16.943260925736549</c:v>
                </c:pt>
                <c:pt idx="11">
                  <c:v>16.097504979210768</c:v>
                </c:pt>
                <c:pt idx="12">
                  <c:v>15.279458637362126</c:v>
                </c:pt>
                <c:pt idx="13">
                  <c:v>14.501927896047356</c:v>
                </c:pt>
                <c:pt idx="14">
                  <c:v>13.769843934101457</c:v>
                </c:pt>
                <c:pt idx="15">
                  <c:v>13.083836065645707</c:v>
                </c:pt>
                <c:pt idx="16">
                  <c:v>12.442330727553873</c:v>
                </c:pt>
                <c:pt idx="17">
                  <c:v>11.842729796447507</c:v>
                </c:pt>
                <c:pt idx="18">
                  <c:v>11.282051572761393</c:v>
                </c:pt>
                <c:pt idx="19">
                  <c:v>10.265474662765399</c:v>
                </c:pt>
                <c:pt idx="20">
                  <c:v>9.3702617660017626</c:v>
                </c:pt>
                <c:pt idx="21">
                  <c:v>8.2145372290254262</c:v>
                </c:pt>
                <c:pt idx="22">
                  <c:v>6.67234745547103</c:v>
                </c:pt>
                <c:pt idx="23">
                  <c:v>5.4802586293948643</c:v>
                </c:pt>
                <c:pt idx="24">
                  <c:v>3.7804738495670343</c:v>
                </c:pt>
                <c:pt idx="25">
                  <c:v>2.6452058999571477</c:v>
                </c:pt>
                <c:pt idx="26">
                  <c:v>1.8389531413146365</c:v>
                </c:pt>
                <c:pt idx="27">
                  <c:v>1.2324015493120015</c:v>
                </c:pt>
                <c:pt idx="28">
                  <c:v>0.75075487593602475</c:v>
                </c:pt>
                <c:pt idx="29">
                  <c:v>0.34917057344726032</c:v>
                </c:pt>
                <c:pt idx="30">
                  <c:v>0</c:v>
                </c:pt>
                <c:pt idx="31">
                  <c:v>-0.31419529920997391</c:v>
                </c:pt>
                <c:pt idx="32">
                  <c:v>-0.60461404967172427</c:v>
                </c:pt>
                <c:pt idx="33">
                  <c:v>-0.87854613473692211</c:v>
                </c:pt>
                <c:pt idx="34">
                  <c:v>-1.3944794987166347</c:v>
                </c:pt>
                <c:pt idx="35">
                  <c:v>-1.8839047127208985</c:v>
                </c:pt>
                <c:pt idx="36">
                  <c:v>-2.5873993891710896</c:v>
                </c:pt>
                <c:pt idx="37">
                  <c:v>-3.698941371323702</c:v>
                </c:pt>
                <c:pt idx="38">
                  <c:v>-4.7387477373470865</c:v>
                </c:pt>
                <c:pt idx="39">
                  <c:v>-6.60373506804671</c:v>
                </c:pt>
                <c:pt idx="40">
                  <c:v>-8.2080894714571144</c:v>
                </c:pt>
                <c:pt idx="41">
                  <c:v>-9.5973198093708092</c:v>
                </c:pt>
                <c:pt idx="42">
                  <c:v>-10.814099001156109</c:v>
                </c:pt>
                <c:pt idx="43">
                  <c:v>-11.892529017878772</c:v>
                </c:pt>
                <c:pt idx="44">
                  <c:v>-12.858757258415558</c:v>
                </c:pt>
                <c:pt idx="45">
                  <c:v>-13.7327441831399</c:v>
                </c:pt>
                <c:pt idx="46">
                  <c:v>-14.529857853289208</c:v>
                </c:pt>
                <c:pt idx="47">
                  <c:v>-15.262084404591263</c:v>
                </c:pt>
                <c:pt idx="48">
                  <c:v>-15.938903813006121</c:v>
                </c:pt>
                <c:pt idx="49">
                  <c:v>-17.15529761856758</c:v>
                </c:pt>
                <c:pt idx="50">
                  <c:v>-18.224595667780939</c:v>
                </c:pt>
                <c:pt idx="51">
                  <c:v>-19.618718420612794</c:v>
                </c:pt>
                <c:pt idx="52">
                  <c:v>-21.540445315796319</c:v>
                </c:pt>
                <c:pt idx="53">
                  <c:v>-23.115092396709528</c:v>
                </c:pt>
                <c:pt idx="54">
                  <c:v>-25.604919700635961</c:v>
                </c:pt>
                <c:pt idx="55">
                  <c:v>-27.538971600922714</c:v>
                </c:pt>
                <c:pt idx="56">
                  <c:v>-29.120341236131345</c:v>
                </c:pt>
                <c:pt idx="57">
                  <c:v>-30.457916530426438</c:v>
                </c:pt>
                <c:pt idx="58">
                  <c:v>-31.616872199558969</c:v>
                </c:pt>
                <c:pt idx="59">
                  <c:v>-32.639316965317398</c:v>
                </c:pt>
                <c:pt idx="60">
                  <c:v>-33.55403347705311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ED5-42CD-AB28-D6D07C90A4C1}"/>
            </c:ext>
          </c:extLst>
        </c:ser>
        <c:ser>
          <c:idx val="0"/>
          <c:order val="3"/>
          <c:tx>
            <c:strRef>
              <c:f>'RIAA 理想特性'!$HX$25</c:f>
              <c:strCache>
                <c:ptCount val="1"/>
                <c:pt idx="0">
                  <c:v>Imp誤差(対基準)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'RIAA 理想特性'!$FT$26:$FT$86</c:f>
              <c:numCache>
                <c:formatCode>General</c:formatCode>
                <c:ptCount val="61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15</c:v>
                </c:pt>
                <c:pt idx="5">
                  <c:v>17</c:v>
                </c:pt>
                <c:pt idx="6">
                  <c:v>20</c:v>
                </c:pt>
                <c:pt idx="7">
                  <c:v>25</c:v>
                </c:pt>
                <c:pt idx="8">
                  <c:v>30</c:v>
                </c:pt>
                <c:pt idx="9">
                  <c:v>40</c:v>
                </c:pt>
                <c:pt idx="10">
                  <c:v>50</c:v>
                </c:pt>
                <c:pt idx="11">
                  <c:v>60</c:v>
                </c:pt>
                <c:pt idx="12">
                  <c:v>70</c:v>
                </c:pt>
                <c:pt idx="13">
                  <c:v>80</c:v>
                </c:pt>
                <c:pt idx="14">
                  <c:v>90</c:v>
                </c:pt>
                <c:pt idx="15">
                  <c:v>100</c:v>
                </c:pt>
                <c:pt idx="16">
                  <c:v>110</c:v>
                </c:pt>
                <c:pt idx="17">
                  <c:v>120</c:v>
                </c:pt>
                <c:pt idx="18">
                  <c:v>130</c:v>
                </c:pt>
                <c:pt idx="19">
                  <c:v>150</c:v>
                </c:pt>
                <c:pt idx="20">
                  <c:v>170</c:v>
                </c:pt>
                <c:pt idx="21">
                  <c:v>200</c:v>
                </c:pt>
                <c:pt idx="22">
                  <c:v>250</c:v>
                </c:pt>
                <c:pt idx="23">
                  <c:v>300</c:v>
                </c:pt>
                <c:pt idx="24">
                  <c:v>400</c:v>
                </c:pt>
                <c:pt idx="25">
                  <c:v>500</c:v>
                </c:pt>
                <c:pt idx="26">
                  <c:v>600</c:v>
                </c:pt>
                <c:pt idx="27">
                  <c:v>700</c:v>
                </c:pt>
                <c:pt idx="28">
                  <c:v>800</c:v>
                </c:pt>
                <c:pt idx="29">
                  <c:v>900</c:v>
                </c:pt>
                <c:pt idx="30">
                  <c:v>1000</c:v>
                </c:pt>
                <c:pt idx="31">
                  <c:v>1100</c:v>
                </c:pt>
                <c:pt idx="32">
                  <c:v>1200</c:v>
                </c:pt>
                <c:pt idx="33">
                  <c:v>1300</c:v>
                </c:pt>
                <c:pt idx="34">
                  <c:v>1500</c:v>
                </c:pt>
                <c:pt idx="35">
                  <c:v>1700</c:v>
                </c:pt>
                <c:pt idx="36">
                  <c:v>2000</c:v>
                </c:pt>
                <c:pt idx="37">
                  <c:v>2500</c:v>
                </c:pt>
                <c:pt idx="38">
                  <c:v>3000</c:v>
                </c:pt>
                <c:pt idx="39">
                  <c:v>4000</c:v>
                </c:pt>
                <c:pt idx="40">
                  <c:v>5000</c:v>
                </c:pt>
                <c:pt idx="41">
                  <c:v>6000</c:v>
                </c:pt>
                <c:pt idx="42">
                  <c:v>7000</c:v>
                </c:pt>
                <c:pt idx="43">
                  <c:v>8000</c:v>
                </c:pt>
                <c:pt idx="44">
                  <c:v>9000</c:v>
                </c:pt>
                <c:pt idx="45">
                  <c:v>10000</c:v>
                </c:pt>
                <c:pt idx="46">
                  <c:v>11000</c:v>
                </c:pt>
                <c:pt idx="47">
                  <c:v>12000</c:v>
                </c:pt>
                <c:pt idx="48">
                  <c:v>13000</c:v>
                </c:pt>
                <c:pt idx="49">
                  <c:v>15000</c:v>
                </c:pt>
                <c:pt idx="50">
                  <c:v>17000</c:v>
                </c:pt>
                <c:pt idx="51">
                  <c:v>20000</c:v>
                </c:pt>
                <c:pt idx="52">
                  <c:v>25000</c:v>
                </c:pt>
                <c:pt idx="53">
                  <c:v>30000</c:v>
                </c:pt>
                <c:pt idx="54">
                  <c:v>40000</c:v>
                </c:pt>
                <c:pt idx="55">
                  <c:v>50000</c:v>
                </c:pt>
                <c:pt idx="56">
                  <c:v>60000</c:v>
                </c:pt>
                <c:pt idx="57">
                  <c:v>70000</c:v>
                </c:pt>
                <c:pt idx="58">
                  <c:v>80000</c:v>
                </c:pt>
                <c:pt idx="59">
                  <c:v>90000</c:v>
                </c:pt>
                <c:pt idx="60">
                  <c:v>100000</c:v>
                </c:pt>
              </c:numCache>
            </c:numRef>
          </c:xVal>
          <c:yVal>
            <c:numRef>
              <c:f>'RIAA 理想特性'!$HX$26:$HX$86</c:f>
              <c:numCache>
                <c:formatCode>0.0000_ </c:formatCode>
                <c:ptCount val="61"/>
                <c:pt idx="0">
                  <c:v>-3.1952625257645195E-3</c:v>
                </c:pt>
                <c:pt idx="1">
                  <c:v>-3.1167585799494191E-3</c:v>
                </c:pt>
                <c:pt idx="2">
                  <c:v>-3.0331646124750478E-3</c:v>
                </c:pt>
                <c:pt idx="3">
                  <c:v>-2.9450293201307431E-3</c:v>
                </c:pt>
                <c:pt idx="4">
                  <c:v>-2.7573690165354492E-3</c:v>
                </c:pt>
                <c:pt idx="5">
                  <c:v>-2.5582353604249874E-3</c:v>
                </c:pt>
                <c:pt idx="6">
                  <c:v>-2.2473775075013691E-3</c:v>
                </c:pt>
                <c:pt idx="7">
                  <c:v>-1.7280731533446669E-3</c:v>
                </c:pt>
                <c:pt idx="8">
                  <c:v>-1.2457587000653803E-3</c:v>
                </c:pt>
                <c:pt idx="9">
                  <c:v>-4.8193742441071663E-4</c:v>
                </c:pt>
                <c:pt idx="10">
                  <c:v>-6.1907371673441958E-8</c:v>
                </c:pt>
                <c:pt idx="11">
                  <c:v>2.6601750266763702E-4</c:v>
                </c:pt>
                <c:pt idx="12">
                  <c:v>3.9442653780952242E-4</c:v>
                </c:pt>
                <c:pt idx="13">
                  <c:v>4.4311689396181464E-4</c:v>
                </c:pt>
                <c:pt idx="14">
                  <c:v>4.4855790815745422E-4</c:v>
                </c:pt>
                <c:pt idx="15">
                  <c:v>4.3200519871788856E-4</c:v>
                </c:pt>
                <c:pt idx="16">
                  <c:v>4.0533783601404139E-4</c:v>
                </c:pt>
                <c:pt idx="17">
                  <c:v>3.7499723066503066E-4</c:v>
                </c:pt>
                <c:pt idx="18">
                  <c:v>3.4436242526680871E-4</c:v>
                </c:pt>
                <c:pt idx="19">
                  <c:v>2.8801152075175196E-4</c:v>
                </c:pt>
                <c:pt idx="20">
                  <c:v>2.4099421557366441E-4</c:v>
                </c:pt>
                <c:pt idx="21">
                  <c:v>1.8686047826577123E-4</c:v>
                </c:pt>
                <c:pt idx="22">
                  <c:v>1.2781756151980517E-4</c:v>
                </c:pt>
                <c:pt idx="23">
                  <c:v>9.2043185190959775E-5</c:v>
                </c:pt>
                <c:pt idx="24">
                  <c:v>5.3683638157053792E-5</c:v>
                </c:pt>
                <c:pt idx="25">
                  <c:v>3.4939850706905418E-5</c:v>
                </c:pt>
                <c:pt idx="26">
                  <c:v>2.4486623260600027E-5</c:v>
                </c:pt>
                <c:pt idx="27">
                  <c:v>1.8089692616740649E-5</c:v>
                </c:pt>
                <c:pt idx="28">
                  <c:v>1.389962449138693E-5</c:v>
                </c:pt>
                <c:pt idx="29">
                  <c:v>1.1009434388142836E-5</c:v>
                </c:pt>
                <c:pt idx="30">
                  <c:v>8.9333307187189348E-6</c:v>
                </c:pt>
                <c:pt idx="31">
                  <c:v>7.3925274364228244E-6</c:v>
                </c:pt>
                <c:pt idx="32">
                  <c:v>6.2179258293326711E-6</c:v>
                </c:pt>
                <c:pt idx="33">
                  <c:v>5.3021960866317386E-6</c:v>
                </c:pt>
                <c:pt idx="34">
                  <c:v>3.9869380543677835E-6</c:v>
                </c:pt>
                <c:pt idx="35">
                  <c:v>3.1063091228133999E-6</c:v>
                </c:pt>
                <c:pt idx="36">
                  <c:v>2.2459249748862931E-6</c:v>
                </c:pt>
                <c:pt idx="37">
                  <c:v>1.4383624602487544E-6</c:v>
                </c:pt>
                <c:pt idx="38">
                  <c:v>9.9922908702865243E-7</c:v>
                </c:pt>
                <c:pt idx="39">
                  <c:v>5.6227133882202907E-7</c:v>
                </c:pt>
                <c:pt idx="40">
                  <c:v>3.5991433833260089E-7</c:v>
                </c:pt>
                <c:pt idx="41">
                  <c:v>2.4996347747219261E-7</c:v>
                </c:pt>
                <c:pt idx="42">
                  <c:v>1.8365676623943727E-7</c:v>
                </c:pt>
                <c:pt idx="43">
                  <c:v>1.406173169016256E-7</c:v>
                </c:pt>
                <c:pt idx="44">
                  <c:v>1.1110773812106345E-7</c:v>
                </c:pt>
                <c:pt idx="45">
                  <c:v>8.9998934527102392E-8</c:v>
                </c:pt>
                <c:pt idx="46">
                  <c:v>7.4380295700393617E-8</c:v>
                </c:pt>
                <c:pt idx="47">
                  <c:v>6.2500703279511072E-8</c:v>
                </c:pt>
                <c:pt idx="48">
                  <c:v>5.3255462262313813E-8</c:v>
                </c:pt>
                <c:pt idx="49">
                  <c:v>4.0001168599701487E-8</c:v>
                </c:pt>
                <c:pt idx="50">
                  <c:v>3.1142917578108609E-8</c:v>
                </c:pt>
                <c:pt idx="51">
                  <c:v>2.2501012608699966E-8</c:v>
                </c:pt>
                <c:pt idx="52">
                  <c:v>1.4400825421034824E-8</c:v>
                </c:pt>
                <c:pt idx="53">
                  <c:v>1.0000462680181954E-8</c:v>
                </c:pt>
                <c:pt idx="54">
                  <c:v>5.6253384173032828E-9</c:v>
                </c:pt>
                <c:pt idx="55">
                  <c:v>3.600348463805858E-9</c:v>
                </c:pt>
                <c:pt idx="56">
                  <c:v>2.5002009351737797E-9</c:v>
                </c:pt>
                <c:pt idx="57">
                  <c:v>1.8368382370681502E-9</c:v>
                </c:pt>
                <c:pt idx="58">
                  <c:v>1.4064198694541119E-9</c:v>
                </c:pt>
                <c:pt idx="59">
                  <c:v>1.1111751518910751E-9</c:v>
                </c:pt>
                <c:pt idx="60">
                  <c:v>9.0005869424203411E-10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2ED5-42CD-AB28-D6D07C90A4C1}"/>
            </c:ext>
          </c:extLst>
        </c:ser>
        <c:ser>
          <c:idx val="4"/>
          <c:order val="4"/>
          <c:tx>
            <c:strRef>
              <c:f>'RIAA 理想特性'!$HY$25</c:f>
              <c:strCache>
                <c:ptCount val="1"/>
                <c:pt idx="0">
                  <c:v>Ec2修正値</c:v>
                </c:pt>
              </c:strCache>
            </c:strRef>
          </c:tx>
          <c:spPr>
            <a:ln>
              <a:solidFill>
                <a:srgbClr val="FF66FF"/>
              </a:solidFill>
            </a:ln>
          </c:spPr>
          <c:marker>
            <c:symbol val="none"/>
          </c:marker>
          <c:xVal>
            <c:numRef>
              <c:f>'RIAA 理想特性'!$HQ$26:$HQ$86</c:f>
              <c:numCache>
                <c:formatCode>General</c:formatCode>
                <c:ptCount val="61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15</c:v>
                </c:pt>
                <c:pt idx="5">
                  <c:v>17</c:v>
                </c:pt>
                <c:pt idx="6">
                  <c:v>20</c:v>
                </c:pt>
                <c:pt idx="7">
                  <c:v>25</c:v>
                </c:pt>
                <c:pt idx="8">
                  <c:v>30</c:v>
                </c:pt>
                <c:pt idx="9">
                  <c:v>40</c:v>
                </c:pt>
                <c:pt idx="10">
                  <c:v>50</c:v>
                </c:pt>
                <c:pt idx="11">
                  <c:v>60</c:v>
                </c:pt>
                <c:pt idx="12">
                  <c:v>70</c:v>
                </c:pt>
                <c:pt idx="13">
                  <c:v>80</c:v>
                </c:pt>
                <c:pt idx="14">
                  <c:v>90</c:v>
                </c:pt>
                <c:pt idx="15">
                  <c:v>100</c:v>
                </c:pt>
                <c:pt idx="16">
                  <c:v>110</c:v>
                </c:pt>
                <c:pt idx="17">
                  <c:v>120</c:v>
                </c:pt>
                <c:pt idx="18">
                  <c:v>130</c:v>
                </c:pt>
                <c:pt idx="19">
                  <c:v>150</c:v>
                </c:pt>
                <c:pt idx="20">
                  <c:v>170</c:v>
                </c:pt>
                <c:pt idx="21">
                  <c:v>200</c:v>
                </c:pt>
                <c:pt idx="22">
                  <c:v>250</c:v>
                </c:pt>
                <c:pt idx="23">
                  <c:v>300</c:v>
                </c:pt>
                <c:pt idx="24">
                  <c:v>400</c:v>
                </c:pt>
                <c:pt idx="25">
                  <c:v>500</c:v>
                </c:pt>
                <c:pt idx="26">
                  <c:v>600</c:v>
                </c:pt>
                <c:pt idx="27">
                  <c:v>700</c:v>
                </c:pt>
                <c:pt idx="28">
                  <c:v>800</c:v>
                </c:pt>
                <c:pt idx="29">
                  <c:v>900</c:v>
                </c:pt>
                <c:pt idx="30">
                  <c:v>1000</c:v>
                </c:pt>
                <c:pt idx="31">
                  <c:v>1100</c:v>
                </c:pt>
                <c:pt idx="32">
                  <c:v>1200</c:v>
                </c:pt>
                <c:pt idx="33">
                  <c:v>1300</c:v>
                </c:pt>
                <c:pt idx="34">
                  <c:v>1500</c:v>
                </c:pt>
                <c:pt idx="35">
                  <c:v>1700</c:v>
                </c:pt>
                <c:pt idx="36">
                  <c:v>2000</c:v>
                </c:pt>
                <c:pt idx="37">
                  <c:v>2500</c:v>
                </c:pt>
                <c:pt idx="38">
                  <c:v>3000</c:v>
                </c:pt>
                <c:pt idx="39">
                  <c:v>4000</c:v>
                </c:pt>
                <c:pt idx="40">
                  <c:v>5000</c:v>
                </c:pt>
                <c:pt idx="41">
                  <c:v>6000</c:v>
                </c:pt>
                <c:pt idx="42">
                  <c:v>7000</c:v>
                </c:pt>
                <c:pt idx="43">
                  <c:v>8000</c:v>
                </c:pt>
                <c:pt idx="44">
                  <c:v>9000</c:v>
                </c:pt>
                <c:pt idx="45">
                  <c:v>10000</c:v>
                </c:pt>
                <c:pt idx="46">
                  <c:v>11000</c:v>
                </c:pt>
                <c:pt idx="47">
                  <c:v>12000</c:v>
                </c:pt>
                <c:pt idx="48">
                  <c:v>13000</c:v>
                </c:pt>
                <c:pt idx="49">
                  <c:v>15000</c:v>
                </c:pt>
                <c:pt idx="50">
                  <c:v>17000</c:v>
                </c:pt>
                <c:pt idx="51">
                  <c:v>20000</c:v>
                </c:pt>
                <c:pt idx="52">
                  <c:v>25000</c:v>
                </c:pt>
                <c:pt idx="53">
                  <c:v>30000</c:v>
                </c:pt>
                <c:pt idx="54">
                  <c:v>40000</c:v>
                </c:pt>
                <c:pt idx="55">
                  <c:v>50000</c:v>
                </c:pt>
                <c:pt idx="56">
                  <c:v>60000</c:v>
                </c:pt>
                <c:pt idx="57">
                  <c:v>70000</c:v>
                </c:pt>
                <c:pt idx="58">
                  <c:v>80000</c:v>
                </c:pt>
                <c:pt idx="59">
                  <c:v>90000</c:v>
                </c:pt>
                <c:pt idx="60">
                  <c:v>100000</c:v>
                </c:pt>
              </c:numCache>
            </c:numRef>
          </c:xVal>
          <c:yVal>
            <c:numRef>
              <c:f>'RIAA 理想特性'!$HY$26:$HY$86</c:f>
              <c:numCache>
                <c:formatCode>General</c:formatCode>
                <c:ptCount val="61"/>
                <c:pt idx="0">
                  <c:v>19.744048811929627</c:v>
                </c:pt>
                <c:pt idx="1">
                  <c:v>19.709478438573509</c:v>
                </c:pt>
                <c:pt idx="2">
                  <c:v>19.671935327600462</c:v>
                </c:pt>
                <c:pt idx="3">
                  <c:v>19.631500101100883</c:v>
                </c:pt>
                <c:pt idx="4">
                  <c:v>19.542297157270895</c:v>
                </c:pt>
                <c:pt idx="5">
                  <c:v>19.442592510599358</c:v>
                </c:pt>
                <c:pt idx="6">
                  <c:v>19.27503116643198</c:v>
                </c:pt>
                <c:pt idx="7">
                  <c:v>18.954426120833169</c:v>
                </c:pt>
                <c:pt idx="8">
                  <c:v>18.592915420488907</c:v>
                </c:pt>
                <c:pt idx="9">
                  <c:v>17.79199699477849</c:v>
                </c:pt>
                <c:pt idx="10">
                  <c:v>16.945671308753603</c:v>
                </c:pt>
                <c:pt idx="11">
                  <c:v>16.100975507090943</c:v>
                </c:pt>
                <c:pt idx="12">
                  <c:v>15.284181730162627</c:v>
                </c:pt>
                <c:pt idx="13">
                  <c:v>14.508095807307189</c:v>
                </c:pt>
                <c:pt idx="14">
                  <c:v>13.777648725422027</c:v>
                </c:pt>
                <c:pt idx="15">
                  <c:v>13.093469581356304</c:v>
                </c:pt>
                <c:pt idx="16">
                  <c:v>12.453984569473043</c:v>
                </c:pt>
                <c:pt idx="17">
                  <c:v>11.856595298751349</c:v>
                </c:pt>
                <c:pt idx="18">
                  <c:v>11.298319776969635</c:v>
                </c:pt>
                <c:pt idx="19">
                  <c:v>10.287120100428591</c:v>
                </c:pt>
                <c:pt idx="20">
                  <c:v>9.3980444719073954</c:v>
                </c:pt>
                <c:pt idx="21">
                  <c:v>8.252943737337386</c:v>
                </c:pt>
                <c:pt idx="22">
                  <c:v>6.7322092955186683</c:v>
                </c:pt>
                <c:pt idx="23">
                  <c:v>5.5662005200343749</c:v>
                </c:pt>
                <c:pt idx="24">
                  <c:v>3.9321031167651856</c:v>
                </c:pt>
                <c:pt idx="25">
                  <c:v>2.8798562683808591</c:v>
                </c:pt>
                <c:pt idx="26">
                  <c:v>2.1729646788254513</c:v>
                </c:pt>
                <c:pt idx="27">
                  <c:v>1.6809822450474989</c:v>
                </c:pt>
                <c:pt idx="28">
                  <c:v>1.3278810011739779</c:v>
                </c:pt>
                <c:pt idx="29">
                  <c:v>1.0675251911511836</c:v>
                </c:pt>
                <c:pt idx="30">
                  <c:v>0.87094696630965984</c:v>
                </c:pt>
                <c:pt idx="31">
                  <c:v>0.71939403037540472</c:v>
                </c:pt>
                <c:pt idx="32">
                  <c:v>0.60038552546388502</c:v>
                </c:pt>
                <c:pt idx="33">
                  <c:v>0.50540210842837396</c:v>
                </c:pt>
                <c:pt idx="34">
                  <c:v>0.36541592108361698</c:v>
                </c:pt>
                <c:pt idx="35">
                  <c:v>0.26922115737694341</c:v>
                </c:pt>
                <c:pt idx="36">
                  <c:v>0.17322865519013675</c:v>
                </c:pt>
                <c:pt idx="37">
                  <c:v>8.1243843754926104E-2</c:v>
                </c:pt>
                <c:pt idx="38">
                  <c:v>3.0430230046778917E-2</c:v>
                </c:pt>
                <c:pt idx="39">
                  <c:v>-2.0703637607873304E-2</c:v>
                </c:pt>
                <c:pt idx="40">
                  <c:v>-4.4580944016711754E-2</c:v>
                </c:pt>
                <c:pt idx="41">
                  <c:v>-5.7607699916058408E-2</c:v>
                </c:pt>
                <c:pt idx="42">
                  <c:v>-6.5481733909827256E-2</c:v>
                </c:pt>
                <c:pt idx="43">
                  <c:v>-7.0600090834556539E-2</c:v>
                </c:pt>
                <c:pt idx="44">
                  <c:v>-7.4112779107650795E-2</c:v>
                </c:pt>
                <c:pt idx="45">
                  <c:v>-7.6627163842523771E-2</c:v>
                </c:pt>
                <c:pt idx="46">
                  <c:v>-7.8488480623747137E-2</c:v>
                </c:pt>
                <c:pt idx="47">
                  <c:v>-7.9904709804097251E-2</c:v>
                </c:pt>
                <c:pt idx="48">
                  <c:v>-8.1007195242428054E-2</c:v>
                </c:pt>
                <c:pt idx="49">
                  <c:v>-8.2588216622564659E-2</c:v>
                </c:pt>
                <c:pt idx="50">
                  <c:v>-8.3645163400763778E-2</c:v>
                </c:pt>
                <c:pt idx="51">
                  <c:v>-8.4676558775065303E-2</c:v>
                </c:pt>
                <c:pt idx="52">
                  <c:v>-8.5643509807226792E-2</c:v>
                </c:pt>
                <c:pt idx="53">
                  <c:v>-8.6168859233922035E-2</c:v>
                </c:pt>
                <c:pt idx="54">
                  <c:v>-8.669128801080106E-2</c:v>
                </c:pt>
                <c:pt idx="55">
                  <c:v>-8.6933119609362564E-2</c:v>
                </c:pt>
                <c:pt idx="56">
                  <c:v>-8.706449068065325E-2</c:v>
                </c:pt>
                <c:pt idx="57">
                  <c:v>-8.7143705252515247E-2</c:v>
                </c:pt>
                <c:pt idx="58">
                  <c:v>-8.7195119345206962E-2</c:v>
                </c:pt>
                <c:pt idx="59">
                  <c:v>-8.7230369036703337E-2</c:v>
                </c:pt>
                <c:pt idx="60">
                  <c:v>-8.7255583112746393E-2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FC46-4F7E-A2CB-2126ED10EB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1182080"/>
        <c:axId val="121204736"/>
      </c:scatterChart>
      <c:scatterChart>
        <c:scatterStyle val="smoothMarker"/>
        <c:varyColors val="0"/>
        <c:ser>
          <c:idx val="3"/>
          <c:order val="2"/>
          <c:tx>
            <c:strRef>
              <c:f>'RIAA 理想特性'!$HZ$25</c:f>
              <c:strCache>
                <c:ptCount val="1"/>
                <c:pt idx="0">
                  <c:v>レベル誤差(dB)</c:v>
                </c:pt>
              </c:strCache>
            </c:strRef>
          </c:tx>
          <c:spPr>
            <a:ln w="22225" cap="rnd">
              <a:solidFill>
                <a:srgbClr val="0000FF"/>
              </a:solidFill>
              <a:round/>
            </a:ln>
            <a:effectLst/>
          </c:spPr>
          <c:marker>
            <c:symbol val="none"/>
          </c:marker>
          <c:xVal>
            <c:numRef>
              <c:f>'RIAA 理想特性'!$HQ$26:$HQ$86</c:f>
              <c:numCache>
                <c:formatCode>General</c:formatCode>
                <c:ptCount val="61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15</c:v>
                </c:pt>
                <c:pt idx="5">
                  <c:v>17</c:v>
                </c:pt>
                <c:pt idx="6">
                  <c:v>20</c:v>
                </c:pt>
                <c:pt idx="7">
                  <c:v>25</c:v>
                </c:pt>
                <c:pt idx="8">
                  <c:v>30</c:v>
                </c:pt>
                <c:pt idx="9">
                  <c:v>40</c:v>
                </c:pt>
                <c:pt idx="10">
                  <c:v>50</c:v>
                </c:pt>
                <c:pt idx="11">
                  <c:v>60</c:v>
                </c:pt>
                <c:pt idx="12">
                  <c:v>70</c:v>
                </c:pt>
                <c:pt idx="13">
                  <c:v>80</c:v>
                </c:pt>
                <c:pt idx="14">
                  <c:v>90</c:v>
                </c:pt>
                <c:pt idx="15">
                  <c:v>100</c:v>
                </c:pt>
                <c:pt idx="16">
                  <c:v>110</c:v>
                </c:pt>
                <c:pt idx="17">
                  <c:v>120</c:v>
                </c:pt>
                <c:pt idx="18">
                  <c:v>130</c:v>
                </c:pt>
                <c:pt idx="19">
                  <c:v>150</c:v>
                </c:pt>
                <c:pt idx="20">
                  <c:v>170</c:v>
                </c:pt>
                <c:pt idx="21">
                  <c:v>200</c:v>
                </c:pt>
                <c:pt idx="22">
                  <c:v>250</c:v>
                </c:pt>
                <c:pt idx="23">
                  <c:v>300</c:v>
                </c:pt>
                <c:pt idx="24">
                  <c:v>400</c:v>
                </c:pt>
                <c:pt idx="25">
                  <c:v>500</c:v>
                </c:pt>
                <c:pt idx="26">
                  <c:v>600</c:v>
                </c:pt>
                <c:pt idx="27">
                  <c:v>700</c:v>
                </c:pt>
                <c:pt idx="28">
                  <c:v>800</c:v>
                </c:pt>
                <c:pt idx="29">
                  <c:v>900</c:v>
                </c:pt>
                <c:pt idx="30">
                  <c:v>1000</c:v>
                </c:pt>
                <c:pt idx="31">
                  <c:v>1100</c:v>
                </c:pt>
                <c:pt idx="32">
                  <c:v>1200</c:v>
                </c:pt>
                <c:pt idx="33">
                  <c:v>1300</c:v>
                </c:pt>
                <c:pt idx="34">
                  <c:v>1500</c:v>
                </c:pt>
                <c:pt idx="35">
                  <c:v>1700</c:v>
                </c:pt>
                <c:pt idx="36">
                  <c:v>2000</c:v>
                </c:pt>
                <c:pt idx="37">
                  <c:v>2500</c:v>
                </c:pt>
                <c:pt idx="38">
                  <c:v>3000</c:v>
                </c:pt>
                <c:pt idx="39">
                  <c:v>4000</c:v>
                </c:pt>
                <c:pt idx="40">
                  <c:v>5000</c:v>
                </c:pt>
                <c:pt idx="41">
                  <c:v>6000</c:v>
                </c:pt>
                <c:pt idx="42">
                  <c:v>7000</c:v>
                </c:pt>
                <c:pt idx="43">
                  <c:v>8000</c:v>
                </c:pt>
                <c:pt idx="44">
                  <c:v>9000</c:v>
                </c:pt>
                <c:pt idx="45">
                  <c:v>10000</c:v>
                </c:pt>
                <c:pt idx="46">
                  <c:v>11000</c:v>
                </c:pt>
                <c:pt idx="47">
                  <c:v>12000</c:v>
                </c:pt>
                <c:pt idx="48">
                  <c:v>13000</c:v>
                </c:pt>
                <c:pt idx="49">
                  <c:v>15000</c:v>
                </c:pt>
                <c:pt idx="50">
                  <c:v>17000</c:v>
                </c:pt>
                <c:pt idx="51">
                  <c:v>20000</c:v>
                </c:pt>
                <c:pt idx="52">
                  <c:v>25000</c:v>
                </c:pt>
                <c:pt idx="53">
                  <c:v>30000</c:v>
                </c:pt>
                <c:pt idx="54">
                  <c:v>40000</c:v>
                </c:pt>
                <c:pt idx="55">
                  <c:v>50000</c:v>
                </c:pt>
                <c:pt idx="56">
                  <c:v>60000</c:v>
                </c:pt>
                <c:pt idx="57">
                  <c:v>70000</c:v>
                </c:pt>
                <c:pt idx="58">
                  <c:v>80000</c:v>
                </c:pt>
                <c:pt idx="59">
                  <c:v>90000</c:v>
                </c:pt>
                <c:pt idx="60">
                  <c:v>100000</c:v>
                </c:pt>
              </c:numCache>
            </c:numRef>
          </c:xVal>
          <c:yVal>
            <c:numRef>
              <c:f>'RIAA 理想特性'!$HZ$26:$HZ$86</c:f>
              <c:numCache>
                <c:formatCode>0.00000</c:formatCode>
                <c:ptCount val="61"/>
                <c:pt idx="0">
                  <c:v>-2.2592502233464984E-6</c:v>
                </c:pt>
                <c:pt idx="1">
                  <c:v>-2.6046898433662591E-6</c:v>
                </c:pt>
                <c:pt idx="2">
                  <c:v>-2.9698186416737826E-6</c:v>
                </c:pt>
                <c:pt idx="3">
                  <c:v>-3.3516489352791723E-6</c:v>
                </c:pt>
                <c:pt idx="4">
                  <c:v>-4.1533536432325491E-6</c:v>
                </c:pt>
                <c:pt idx="5">
                  <c:v>-4.9859865001167236E-6</c:v>
                </c:pt>
                <c:pt idx="6">
                  <c:v>-6.2440406161101691E-6</c:v>
                </c:pt>
                <c:pt idx="7">
                  <c:v>-8.2085202137704982E-6</c:v>
                </c:pt>
                <c:pt idx="8">
                  <c:v>-9.8294611738936055E-6</c:v>
                </c:pt>
                <c:pt idx="9">
                  <c:v>-1.1731628447364528E-5</c:v>
                </c:pt>
                <c:pt idx="10">
                  <c:v>-1.2052086773906012E-5</c:v>
                </c:pt>
                <c:pt idx="11">
                  <c:v>-1.137994490818528E-5</c:v>
                </c:pt>
                <c:pt idx="12">
                  <c:v>-1.0239362524089302E-5</c:v>
                </c:pt>
                <c:pt idx="13">
                  <c:v>-8.959815298581475E-6</c:v>
                </c:pt>
                <c:pt idx="14">
                  <c:v>-7.7134254485855536E-6</c:v>
                </c:pt>
                <c:pt idx="15">
                  <c:v>-6.5761313319256942E-6</c:v>
                </c:pt>
                <c:pt idx="16">
                  <c:v>-5.5724831646841722E-6</c:v>
                </c:pt>
                <c:pt idx="17">
                  <c:v>-4.7021459668172838E-6</c:v>
                </c:pt>
                <c:pt idx="18">
                  <c:v>-3.9540881235922143E-6</c:v>
                </c:pt>
                <c:pt idx="19">
                  <c:v>-2.7661377508536589E-6</c:v>
                </c:pt>
                <c:pt idx="20">
                  <c:v>-1.8966093140448947E-6</c:v>
                </c:pt>
                <c:pt idx="21">
                  <c:v>-1.0020169707303239E-6</c:v>
                </c:pt>
                <c:pt idx="22">
                  <c:v>-1.6477523168134667E-7</c:v>
                </c:pt>
                <c:pt idx="23">
                  <c:v>2.3791557524077689E-7</c:v>
                </c:pt>
                <c:pt idx="24">
                  <c:v>4.8921321038619681E-7</c:v>
                </c:pt>
                <c:pt idx="25">
                  <c:v>4.658885579544858E-7</c:v>
                </c:pt>
                <c:pt idx="26">
                  <c:v>3.6749184317841355E-7</c:v>
                </c:pt>
                <c:pt idx="27">
                  <c:v>2.5804460079825731E-7</c:v>
                </c:pt>
                <c:pt idx="28">
                  <c:v>1.578283921332968E-7</c:v>
                </c:pt>
                <c:pt idx="29">
                  <c:v>7.1884716845715957E-8</c:v>
                </c:pt>
                <c:pt idx="30">
                  <c:v>0</c:v>
                </c:pt>
                <c:pt idx="31">
                  <c:v>-5.9634022164800626E-8</c:v>
                </c:pt>
                <c:pt idx="32">
                  <c:v>-1.0908748393489986E-7</c:v>
                </c:pt>
                <c:pt idx="33">
                  <c:v>-1.5024241051264653E-7</c:v>
                </c:pt>
                <c:pt idx="34">
                  <c:v>-2.1366884439544265E-7</c:v>
                </c:pt>
                <c:pt idx="35">
                  <c:v>-2.5919952051367545E-7</c:v>
                </c:pt>
                <c:pt idx="36">
                  <c:v>-3.0624044811133899E-7</c:v>
                </c:pt>
                <c:pt idx="37">
                  <c:v>-3.5284427468695867E-7</c:v>
                </c:pt>
                <c:pt idx="38">
                  <c:v>-3.7923742368661806E-7</c:v>
                </c:pt>
                <c:pt idx="39">
                  <c:v>-4.0626757424888638E-7</c:v>
                </c:pt>
                <c:pt idx="40">
                  <c:v>-4.1905226311200749E-7</c:v>
                </c:pt>
                <c:pt idx="41">
                  <c:v>-4.2607110017911509E-7</c:v>
                </c:pt>
                <c:pt idx="42">
                  <c:v>-4.3032870067349904E-7</c:v>
                </c:pt>
                <c:pt idx="43">
                  <c:v>-4.3310237529681217E-7</c:v>
                </c:pt>
                <c:pt idx="44">
                  <c:v>-4.3500869040258294E-7</c:v>
                </c:pt>
                <c:pt idx="45">
                  <c:v>-4.3637462354695344E-7</c:v>
                </c:pt>
                <c:pt idx="46">
                  <c:v>-4.3738655008951355E-7</c:v>
                </c:pt>
                <c:pt idx="47">
                  <c:v>-4.3815691341819729E-7</c:v>
                </c:pt>
                <c:pt idx="48">
                  <c:v>-4.3875686728256369E-7</c:v>
                </c:pt>
                <c:pt idx="49">
                  <c:v>-4.3961762585809083E-7</c:v>
                </c:pt>
                <c:pt idx="50">
                  <c:v>-4.4019331468803102E-7</c:v>
                </c:pt>
                <c:pt idx="51">
                  <c:v>-4.4075527583231633E-7</c:v>
                </c:pt>
                <c:pt idx="52">
                  <c:v>-4.4128232090656638E-7</c:v>
                </c:pt>
                <c:pt idx="53">
                  <c:v>-4.4156872647249656E-7</c:v>
                </c:pt>
                <c:pt idx="54">
                  <c:v>-4.4185361147697222E-7</c:v>
                </c:pt>
                <c:pt idx="55">
                  <c:v>-4.4198548110330194E-7</c:v>
                </c:pt>
                <c:pt idx="56">
                  <c:v>-4.4205713933820334E-7</c:v>
                </c:pt>
                <c:pt idx="57">
                  <c:v>-4.421003332311102E-7</c:v>
                </c:pt>
                <c:pt idx="58">
                  <c:v>-4.4212837124746329E-7</c:v>
                </c:pt>
                <c:pt idx="59">
                  <c:v>-4.4214760208660664E-7</c:v>
                </c:pt>
                <c:pt idx="60">
                  <c:v>-4.421613510885436E-7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2ED5-42CD-AB28-D6D07C90A4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1221120"/>
        <c:axId val="121206656"/>
      </c:scatterChart>
      <c:valAx>
        <c:axId val="121182080"/>
        <c:scaling>
          <c:logBase val="10"/>
          <c:orientation val="minMax"/>
          <c:min val="10"/>
        </c:scaling>
        <c:delete val="0"/>
        <c:axPos val="b"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周波数</a:t>
                </a:r>
                <a:r>
                  <a:rPr lang="en-US" altLang="ja-JP"/>
                  <a:t>(Hz)</a:t>
                </a:r>
                <a:endParaRPr lang="ja-JP" altLang="en-US"/>
              </a:p>
            </c:rich>
          </c:tx>
          <c:layout>
            <c:manualLayout>
              <c:xMode val="edge"/>
              <c:yMode val="edge"/>
              <c:x val="0.93106912844516632"/>
              <c:y val="0.52712317406193865"/>
            </c:manualLayout>
          </c:layout>
          <c:overlay val="0"/>
        </c:title>
        <c:numFmt formatCode="#,##0_);[Red]\(#,##0\)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121204736"/>
        <c:crosses val="autoZero"/>
        <c:crossBetween val="midCat"/>
      </c:valAx>
      <c:valAx>
        <c:axId val="121204736"/>
        <c:scaling>
          <c:orientation val="minMax"/>
          <c:max val="25"/>
          <c:min val="-2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/>
        <c:title>
          <c:tx>
            <c:rich>
              <a:bodyPr rot="0" vert="horz"/>
              <a:lstStyle/>
              <a:p>
                <a:pPr algn="l">
                  <a:defRPr sz="1200">
                    <a:latin typeface="Meiryo UI" panose="020B0604030504040204" pitchFamily="50" charset="-128"/>
                    <a:ea typeface="Meiryo UI" panose="020B0604030504040204" pitchFamily="50" charset="-128"/>
                  </a:defRPr>
                </a:pPr>
                <a:r>
                  <a:rPr lang="ja-JP" altLang="en-US" sz="1200">
                    <a:latin typeface="Meiryo UI" panose="020B0604030504040204" pitchFamily="50" charset="-128"/>
                    <a:ea typeface="Meiryo UI" panose="020B0604030504040204" pitchFamily="50" charset="-128"/>
                  </a:rPr>
                  <a:t>利得</a:t>
                </a:r>
                <a:r>
                  <a:rPr lang="en-US" altLang="ja-JP" sz="1200">
                    <a:latin typeface="Meiryo UI" panose="020B0604030504040204" pitchFamily="50" charset="-128"/>
                    <a:ea typeface="Meiryo UI" panose="020B0604030504040204" pitchFamily="50" charset="-128"/>
                  </a:rPr>
                  <a:t>(dB)</a:t>
                </a:r>
                <a:r>
                  <a:rPr lang="ja-JP" altLang="en-US" sz="1200">
                    <a:latin typeface="Meiryo UI" panose="020B0604030504040204" pitchFamily="50" charset="-128"/>
                    <a:ea typeface="Meiryo UI" panose="020B0604030504040204" pitchFamily="50" charset="-128"/>
                  </a:rPr>
                  <a:t>　</a:t>
                </a:r>
                <a:endParaRPr lang="en-US" altLang="ja-JP" sz="1200">
                  <a:latin typeface="Meiryo UI" panose="020B0604030504040204" pitchFamily="50" charset="-128"/>
                  <a:ea typeface="Meiryo UI" panose="020B0604030504040204" pitchFamily="50" charset="-128"/>
                </a:endParaRPr>
              </a:p>
              <a:p>
                <a:pPr algn="l">
                  <a:defRPr sz="1200">
                    <a:latin typeface="Meiryo UI" panose="020B0604030504040204" pitchFamily="50" charset="-128"/>
                    <a:ea typeface="Meiryo UI" panose="020B0604030504040204" pitchFamily="50" charset="-128"/>
                  </a:defRPr>
                </a:pPr>
                <a:r>
                  <a:rPr lang="en-US" altLang="ja-JP" sz="1200">
                    <a:latin typeface="Meiryo UI" panose="020B0604030504040204" pitchFamily="50" charset="-128"/>
                    <a:ea typeface="Meiryo UI" panose="020B0604030504040204" pitchFamily="50" charset="-128"/>
                  </a:rPr>
                  <a:t>Imp</a:t>
                </a:r>
                <a:r>
                  <a:rPr lang="ja-JP" altLang="en-US" sz="1200">
                    <a:latin typeface="Meiryo UI" panose="020B0604030504040204" pitchFamily="50" charset="-128"/>
                    <a:ea typeface="Meiryo UI" panose="020B0604030504040204" pitchFamily="50" charset="-128"/>
                  </a:rPr>
                  <a:t>誤差</a:t>
                </a:r>
                <a:r>
                  <a:rPr lang="en-US" altLang="ja-JP" sz="1200">
                    <a:latin typeface="Meiryo UI" panose="020B0604030504040204" pitchFamily="50" charset="-128"/>
                    <a:ea typeface="Meiryo UI" panose="020B0604030504040204" pitchFamily="50" charset="-128"/>
                  </a:rPr>
                  <a:t>(Ω)</a:t>
                </a:r>
                <a:endParaRPr lang="ja-JP" altLang="en-US" sz="1200">
                  <a:latin typeface="Meiryo UI" panose="020B0604030504040204" pitchFamily="50" charset="-128"/>
                  <a:ea typeface="Meiryo UI" panose="020B0604030504040204" pitchFamily="50" charset="-128"/>
                </a:endParaRPr>
              </a:p>
            </c:rich>
          </c:tx>
          <c:layout>
            <c:manualLayout>
              <c:xMode val="edge"/>
              <c:yMode val="edge"/>
              <c:x val="2.391977946340024E-2"/>
              <c:y val="4.7619311079719333E-2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121182080"/>
        <c:crosses val="autoZero"/>
        <c:crossBetween val="midCat"/>
        <c:majorUnit val="5"/>
        <c:minorUnit val="5"/>
      </c:valAx>
      <c:valAx>
        <c:axId val="121206656"/>
        <c:scaling>
          <c:orientation val="minMax"/>
          <c:max val="1"/>
          <c:min val="-1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 sz="1200">
                    <a:latin typeface="Meiryo UI" panose="020B0604030504040204" pitchFamily="50" charset="-128"/>
                    <a:ea typeface="Meiryo UI" panose="020B0604030504040204" pitchFamily="50" charset="-128"/>
                  </a:defRPr>
                </a:pPr>
                <a:r>
                  <a:rPr lang="ja-JP" altLang="en-US" sz="1200">
                    <a:latin typeface="Meiryo UI" panose="020B0604030504040204" pitchFamily="50" charset="-128"/>
                    <a:ea typeface="Meiryo UI" panose="020B0604030504040204" pitchFamily="50" charset="-128"/>
                  </a:rPr>
                  <a:t>利得誤差</a:t>
                </a:r>
                <a:endParaRPr lang="en-US" altLang="ja-JP" sz="1200">
                  <a:latin typeface="Meiryo UI" panose="020B0604030504040204" pitchFamily="50" charset="-128"/>
                  <a:ea typeface="Meiryo UI" panose="020B0604030504040204" pitchFamily="50" charset="-128"/>
                </a:endParaRPr>
              </a:p>
              <a:p>
                <a:pPr>
                  <a:defRPr sz="1200">
                    <a:latin typeface="Meiryo UI" panose="020B0604030504040204" pitchFamily="50" charset="-128"/>
                    <a:ea typeface="Meiryo UI" panose="020B0604030504040204" pitchFamily="50" charset="-128"/>
                  </a:defRPr>
                </a:pPr>
                <a:r>
                  <a:rPr lang="en-US" altLang="ja-JP" sz="1200">
                    <a:latin typeface="Meiryo UI" panose="020B0604030504040204" pitchFamily="50" charset="-128"/>
                    <a:ea typeface="Meiryo UI" panose="020B0604030504040204" pitchFamily="50" charset="-128"/>
                  </a:rPr>
                  <a:t>(dB)</a:t>
                </a:r>
                <a:endParaRPr lang="ja-JP" altLang="en-US" sz="1200">
                  <a:latin typeface="Meiryo UI" panose="020B0604030504040204" pitchFamily="50" charset="-128"/>
                  <a:ea typeface="Meiryo UI" panose="020B0604030504040204" pitchFamily="50" charset="-128"/>
                </a:endParaRPr>
              </a:p>
            </c:rich>
          </c:tx>
          <c:layout>
            <c:manualLayout>
              <c:xMode val="edge"/>
              <c:yMode val="edge"/>
              <c:x val="0.88674587127184579"/>
              <c:y val="5.9485375551694052E-2"/>
            </c:manualLayout>
          </c:layout>
          <c:overlay val="0"/>
        </c:title>
        <c:numFmt formatCode="#,##0.00_);[Red]\(#,##0.00\)" sourceLinked="0"/>
        <c:majorTickMark val="out"/>
        <c:minorTickMark val="none"/>
        <c:tickLblPos val="nextTo"/>
        <c:txPr>
          <a:bodyPr/>
          <a:lstStyle/>
          <a:p>
            <a:pPr>
              <a:defRPr sz="1400">
                <a:latin typeface="Meiryo UI" panose="020B0604030504040204" pitchFamily="50" charset="-128"/>
                <a:ea typeface="Meiryo UI" panose="020B0604030504040204" pitchFamily="50" charset="-128"/>
              </a:defRPr>
            </a:pPr>
            <a:endParaRPr lang="ja-JP"/>
          </a:p>
        </c:txPr>
        <c:crossAx val="121221120"/>
        <c:crosses val="max"/>
        <c:crossBetween val="midCat"/>
      </c:valAx>
      <c:valAx>
        <c:axId val="121221120"/>
        <c:scaling>
          <c:logBase val="10"/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120665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67930384401214938"/>
          <c:y val="0.16757958094696421"/>
          <c:w val="0.19154723963390688"/>
          <c:h val="0.2263851291678844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r>
              <a:rPr lang="en-US" altLang="ja-JP" sz="2000">
                <a:latin typeface="Meiryo UI" panose="020B0604030504040204" pitchFamily="50" charset="-128"/>
                <a:ea typeface="Meiryo UI" panose="020B0604030504040204" pitchFamily="50" charset="-128"/>
              </a:rPr>
              <a:t>RIAA</a:t>
            </a:r>
            <a:r>
              <a:rPr lang="ja-JP" altLang="en-US" sz="2000">
                <a:latin typeface="Meiryo UI" panose="020B0604030504040204" pitchFamily="50" charset="-128"/>
                <a:ea typeface="Meiryo UI" panose="020B0604030504040204" pitchFamily="50" charset="-128"/>
              </a:rPr>
              <a:t>利得　</a:t>
            </a:r>
            <a:r>
              <a:rPr lang="en-US" altLang="ja-JP" sz="2000">
                <a:latin typeface="Meiryo UI" panose="020B0604030504040204" pitchFamily="50" charset="-128"/>
                <a:ea typeface="Meiryo UI" panose="020B0604030504040204" pitchFamily="50" charset="-128"/>
              </a:rPr>
              <a:t>Imp</a:t>
            </a:r>
            <a:r>
              <a:rPr lang="ja-JP" altLang="en-US" sz="2000">
                <a:latin typeface="Meiryo UI" panose="020B0604030504040204" pitchFamily="50" charset="-128"/>
                <a:ea typeface="Meiryo UI" panose="020B0604030504040204" pitchFamily="50" charset="-128"/>
              </a:rPr>
              <a:t>特性</a:t>
            </a:r>
          </a:p>
        </c:rich>
      </c:tx>
      <c:layout>
        <c:manualLayout>
          <c:xMode val="edge"/>
          <c:yMode val="edge"/>
          <c:x val="0.38905408290388382"/>
          <c:y val="4.2158976687662705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9.3350558514557397E-2"/>
          <c:y val="0.14694082289566129"/>
          <c:w val="0.79978532468793395"/>
          <c:h val="0.73502041705827326"/>
        </c:manualLayout>
      </c:layout>
      <c:scatterChart>
        <c:scatterStyle val="smoothMarker"/>
        <c:varyColors val="0"/>
        <c:ser>
          <c:idx val="1"/>
          <c:order val="0"/>
          <c:tx>
            <c:v>理想再生カーブ(dB)</c:v>
          </c:tx>
          <c:spPr>
            <a:ln w="28575" cap="rnd">
              <a:solidFill>
                <a:srgbClr val="FF9933"/>
              </a:solidFill>
              <a:round/>
            </a:ln>
            <a:effectLst/>
          </c:spPr>
          <c:marker>
            <c:symbol val="none"/>
          </c:marker>
          <c:xVal>
            <c:numRef>
              <c:f>'RIAA コイル抵抗考慮'!$HQ$26:$HQ$86</c:f>
              <c:numCache>
                <c:formatCode>General</c:formatCode>
                <c:ptCount val="61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15</c:v>
                </c:pt>
                <c:pt idx="5">
                  <c:v>17</c:v>
                </c:pt>
                <c:pt idx="6">
                  <c:v>20</c:v>
                </c:pt>
                <c:pt idx="7">
                  <c:v>25</c:v>
                </c:pt>
                <c:pt idx="8">
                  <c:v>30</c:v>
                </c:pt>
                <c:pt idx="9">
                  <c:v>40</c:v>
                </c:pt>
                <c:pt idx="10">
                  <c:v>50</c:v>
                </c:pt>
                <c:pt idx="11">
                  <c:v>60</c:v>
                </c:pt>
                <c:pt idx="12">
                  <c:v>70</c:v>
                </c:pt>
                <c:pt idx="13">
                  <c:v>80</c:v>
                </c:pt>
                <c:pt idx="14">
                  <c:v>90</c:v>
                </c:pt>
                <c:pt idx="15">
                  <c:v>100</c:v>
                </c:pt>
                <c:pt idx="16">
                  <c:v>110</c:v>
                </c:pt>
                <c:pt idx="17">
                  <c:v>120</c:v>
                </c:pt>
                <c:pt idx="18">
                  <c:v>130</c:v>
                </c:pt>
                <c:pt idx="19">
                  <c:v>150</c:v>
                </c:pt>
                <c:pt idx="20">
                  <c:v>170</c:v>
                </c:pt>
                <c:pt idx="21">
                  <c:v>200</c:v>
                </c:pt>
                <c:pt idx="22">
                  <c:v>250</c:v>
                </c:pt>
                <c:pt idx="23">
                  <c:v>300</c:v>
                </c:pt>
                <c:pt idx="24">
                  <c:v>400</c:v>
                </c:pt>
                <c:pt idx="25">
                  <c:v>500</c:v>
                </c:pt>
                <c:pt idx="26">
                  <c:v>600</c:v>
                </c:pt>
                <c:pt idx="27">
                  <c:v>700</c:v>
                </c:pt>
                <c:pt idx="28">
                  <c:v>800</c:v>
                </c:pt>
                <c:pt idx="29">
                  <c:v>900</c:v>
                </c:pt>
                <c:pt idx="30">
                  <c:v>1000</c:v>
                </c:pt>
                <c:pt idx="31">
                  <c:v>1100</c:v>
                </c:pt>
                <c:pt idx="32">
                  <c:v>1200</c:v>
                </c:pt>
                <c:pt idx="33">
                  <c:v>1300</c:v>
                </c:pt>
                <c:pt idx="34">
                  <c:v>1500</c:v>
                </c:pt>
                <c:pt idx="35">
                  <c:v>1700</c:v>
                </c:pt>
                <c:pt idx="36">
                  <c:v>2000</c:v>
                </c:pt>
                <c:pt idx="37">
                  <c:v>2500</c:v>
                </c:pt>
                <c:pt idx="38">
                  <c:v>3000</c:v>
                </c:pt>
                <c:pt idx="39">
                  <c:v>4000</c:v>
                </c:pt>
                <c:pt idx="40">
                  <c:v>5000</c:v>
                </c:pt>
                <c:pt idx="41">
                  <c:v>6000</c:v>
                </c:pt>
                <c:pt idx="42">
                  <c:v>7000</c:v>
                </c:pt>
                <c:pt idx="43">
                  <c:v>8000</c:v>
                </c:pt>
                <c:pt idx="44">
                  <c:v>9000</c:v>
                </c:pt>
                <c:pt idx="45">
                  <c:v>10000</c:v>
                </c:pt>
                <c:pt idx="46">
                  <c:v>11000</c:v>
                </c:pt>
                <c:pt idx="47">
                  <c:v>12000</c:v>
                </c:pt>
                <c:pt idx="48">
                  <c:v>13000</c:v>
                </c:pt>
                <c:pt idx="49">
                  <c:v>15000</c:v>
                </c:pt>
                <c:pt idx="50">
                  <c:v>17000</c:v>
                </c:pt>
                <c:pt idx="51">
                  <c:v>20000</c:v>
                </c:pt>
                <c:pt idx="52">
                  <c:v>25000</c:v>
                </c:pt>
                <c:pt idx="53">
                  <c:v>30000</c:v>
                </c:pt>
                <c:pt idx="54">
                  <c:v>40000</c:v>
                </c:pt>
                <c:pt idx="55">
                  <c:v>50000</c:v>
                </c:pt>
                <c:pt idx="56">
                  <c:v>60000</c:v>
                </c:pt>
                <c:pt idx="57">
                  <c:v>70000</c:v>
                </c:pt>
                <c:pt idx="58">
                  <c:v>80000</c:v>
                </c:pt>
                <c:pt idx="59">
                  <c:v>90000</c:v>
                </c:pt>
                <c:pt idx="60">
                  <c:v>100000</c:v>
                </c:pt>
              </c:numCache>
            </c:numRef>
          </c:xVal>
          <c:yVal>
            <c:numRef>
              <c:f>'RIAA コイル抵抗考慮'!$HW$26:$HW$86</c:f>
              <c:numCache>
                <c:formatCode>General</c:formatCode>
                <c:ptCount val="61"/>
                <c:pt idx="0">
                  <c:v>19.743954630169235</c:v>
                </c:pt>
                <c:pt idx="1">
                  <c:v>19.709364349912601</c:v>
                </c:pt>
                <c:pt idx="2">
                  <c:v>19.671799423042266</c:v>
                </c:pt>
                <c:pt idx="3">
                  <c:v>19.631340468690521</c:v>
                </c:pt>
                <c:pt idx="4">
                  <c:v>19.542084321362207</c:v>
                </c:pt>
                <c:pt idx="5">
                  <c:v>19.442318787913806</c:v>
                </c:pt>
                <c:pt idx="6">
                  <c:v>19.274651659279098</c:v>
                </c:pt>
                <c:pt idx="7">
                  <c:v>18.953831608169743</c:v>
                </c:pt>
                <c:pt idx="8">
                  <c:v>18.592057357942604</c:v>
                </c:pt>
                <c:pt idx="9">
                  <c:v>17.790465927170651</c:v>
                </c:pt>
                <c:pt idx="10">
                  <c:v>16.943272977823323</c:v>
                </c:pt>
                <c:pt idx="11">
                  <c:v>16.097516359155676</c:v>
                </c:pt>
                <c:pt idx="12">
                  <c:v>15.27946887672465</c:v>
                </c:pt>
                <c:pt idx="13">
                  <c:v>14.501936855862654</c:v>
                </c:pt>
                <c:pt idx="14">
                  <c:v>13.769851647526906</c:v>
                </c:pt>
                <c:pt idx="15">
                  <c:v>13.083842641777039</c:v>
                </c:pt>
                <c:pt idx="16">
                  <c:v>12.442336300037038</c:v>
                </c:pt>
                <c:pt idx="17">
                  <c:v>11.842734498593474</c:v>
                </c:pt>
                <c:pt idx="18">
                  <c:v>11.282055526849517</c:v>
                </c:pt>
                <c:pt idx="19">
                  <c:v>10.26547742890315</c:v>
                </c:pt>
                <c:pt idx="20">
                  <c:v>9.3702636626110767</c:v>
                </c:pt>
                <c:pt idx="21">
                  <c:v>8.2145382310423969</c:v>
                </c:pt>
                <c:pt idx="22">
                  <c:v>6.6723476202462617</c:v>
                </c:pt>
                <c:pt idx="23">
                  <c:v>5.4802583914792891</c:v>
                </c:pt>
                <c:pt idx="24">
                  <c:v>3.7804733603538239</c:v>
                </c:pt>
                <c:pt idx="25">
                  <c:v>2.6452054340685898</c:v>
                </c:pt>
                <c:pt idx="26">
                  <c:v>1.8389527738227933</c:v>
                </c:pt>
                <c:pt idx="27">
                  <c:v>1.2324012912674007</c:v>
                </c:pt>
                <c:pt idx="28">
                  <c:v>0.75075471810763261</c:v>
                </c:pt>
                <c:pt idx="29">
                  <c:v>0.34917050156254348</c:v>
                </c:pt>
                <c:pt idx="30">
                  <c:v>0</c:v>
                </c:pt>
                <c:pt idx="31">
                  <c:v>-0.31419523957595175</c:v>
                </c:pt>
                <c:pt idx="32">
                  <c:v>-0.60461394058424034</c:v>
                </c:pt>
                <c:pt idx="33">
                  <c:v>-0.8785459844945116</c:v>
                </c:pt>
                <c:pt idx="34">
                  <c:v>-1.3944792850477903</c:v>
                </c:pt>
                <c:pt idx="35">
                  <c:v>-1.883904453521378</c:v>
                </c:pt>
                <c:pt idx="36">
                  <c:v>-2.5873990829306415</c:v>
                </c:pt>
                <c:pt idx="37">
                  <c:v>-3.6989410184794274</c:v>
                </c:pt>
                <c:pt idx="38">
                  <c:v>-4.7387473581096629</c:v>
                </c:pt>
                <c:pt idx="39">
                  <c:v>-6.6037346617791357</c:v>
                </c:pt>
                <c:pt idx="40">
                  <c:v>-8.2080890524048513</c:v>
                </c:pt>
                <c:pt idx="41">
                  <c:v>-9.597319383299709</c:v>
                </c:pt>
                <c:pt idx="42">
                  <c:v>-10.814098570827408</c:v>
                </c:pt>
                <c:pt idx="43">
                  <c:v>-11.892528584776397</c:v>
                </c:pt>
                <c:pt idx="44">
                  <c:v>-12.858756823406868</c:v>
                </c:pt>
                <c:pt idx="45">
                  <c:v>-13.732743746765276</c:v>
                </c:pt>
                <c:pt idx="46">
                  <c:v>-14.529857415902658</c:v>
                </c:pt>
                <c:pt idx="47">
                  <c:v>-15.26208396643435</c:v>
                </c:pt>
                <c:pt idx="48">
                  <c:v>-15.938903374249254</c:v>
                </c:pt>
                <c:pt idx="49">
                  <c:v>-17.155297178949954</c:v>
                </c:pt>
                <c:pt idx="50">
                  <c:v>-18.224595227587624</c:v>
                </c:pt>
                <c:pt idx="51">
                  <c:v>-19.618717979857518</c:v>
                </c:pt>
                <c:pt idx="52">
                  <c:v>-21.540444874513998</c:v>
                </c:pt>
                <c:pt idx="53">
                  <c:v>-23.115091955140802</c:v>
                </c:pt>
                <c:pt idx="54">
                  <c:v>-25.604919258782349</c:v>
                </c:pt>
                <c:pt idx="55">
                  <c:v>-27.538971158937233</c:v>
                </c:pt>
                <c:pt idx="56">
                  <c:v>-29.120340794074206</c:v>
                </c:pt>
                <c:pt idx="57">
                  <c:v>-30.457916088326105</c:v>
                </c:pt>
                <c:pt idx="58">
                  <c:v>-31.616871757430598</c:v>
                </c:pt>
                <c:pt idx="59">
                  <c:v>-32.639316523169796</c:v>
                </c:pt>
                <c:pt idx="60">
                  <c:v>-33.554033034891759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EFF3-4E1F-B594-3C84D54EA46B}"/>
            </c:ext>
          </c:extLst>
        </c:ser>
        <c:ser>
          <c:idx val="2"/>
          <c:order val="1"/>
          <c:tx>
            <c:v>再生カーブ計算値(dB)</c:v>
          </c:tx>
          <c:spPr>
            <a:ln w="28575" cap="rnd">
              <a:solidFill>
                <a:srgbClr val="00CC99"/>
              </a:solidFill>
              <a:round/>
            </a:ln>
            <a:effectLst/>
          </c:spPr>
          <c:marker>
            <c:symbol val="none"/>
          </c:marker>
          <c:xVal>
            <c:numRef>
              <c:f>'RIAA コイル抵抗考慮'!$HQ$26:$HQ$86</c:f>
              <c:numCache>
                <c:formatCode>General</c:formatCode>
                <c:ptCount val="61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15</c:v>
                </c:pt>
                <c:pt idx="5">
                  <c:v>17</c:v>
                </c:pt>
                <c:pt idx="6">
                  <c:v>20</c:v>
                </c:pt>
                <c:pt idx="7">
                  <c:v>25</c:v>
                </c:pt>
                <c:pt idx="8">
                  <c:v>30</c:v>
                </c:pt>
                <c:pt idx="9">
                  <c:v>40</c:v>
                </c:pt>
                <c:pt idx="10">
                  <c:v>50</c:v>
                </c:pt>
                <c:pt idx="11">
                  <c:v>60</c:v>
                </c:pt>
                <c:pt idx="12">
                  <c:v>70</c:v>
                </c:pt>
                <c:pt idx="13">
                  <c:v>80</c:v>
                </c:pt>
                <c:pt idx="14">
                  <c:v>90</c:v>
                </c:pt>
                <c:pt idx="15">
                  <c:v>100</c:v>
                </c:pt>
                <c:pt idx="16">
                  <c:v>110</c:v>
                </c:pt>
                <c:pt idx="17">
                  <c:v>120</c:v>
                </c:pt>
                <c:pt idx="18">
                  <c:v>130</c:v>
                </c:pt>
                <c:pt idx="19">
                  <c:v>150</c:v>
                </c:pt>
                <c:pt idx="20">
                  <c:v>170</c:v>
                </c:pt>
                <c:pt idx="21">
                  <c:v>200</c:v>
                </c:pt>
                <c:pt idx="22">
                  <c:v>250</c:v>
                </c:pt>
                <c:pt idx="23">
                  <c:v>300</c:v>
                </c:pt>
                <c:pt idx="24">
                  <c:v>400</c:v>
                </c:pt>
                <c:pt idx="25">
                  <c:v>500</c:v>
                </c:pt>
                <c:pt idx="26">
                  <c:v>600</c:v>
                </c:pt>
                <c:pt idx="27">
                  <c:v>700</c:v>
                </c:pt>
                <c:pt idx="28">
                  <c:v>800</c:v>
                </c:pt>
                <c:pt idx="29">
                  <c:v>900</c:v>
                </c:pt>
                <c:pt idx="30">
                  <c:v>1000</c:v>
                </c:pt>
                <c:pt idx="31">
                  <c:v>1100</c:v>
                </c:pt>
                <c:pt idx="32">
                  <c:v>1200</c:v>
                </c:pt>
                <c:pt idx="33">
                  <c:v>1300</c:v>
                </c:pt>
                <c:pt idx="34">
                  <c:v>1500</c:v>
                </c:pt>
                <c:pt idx="35">
                  <c:v>1700</c:v>
                </c:pt>
                <c:pt idx="36">
                  <c:v>2000</c:v>
                </c:pt>
                <c:pt idx="37">
                  <c:v>2500</c:v>
                </c:pt>
                <c:pt idx="38">
                  <c:v>3000</c:v>
                </c:pt>
                <c:pt idx="39">
                  <c:v>4000</c:v>
                </c:pt>
                <c:pt idx="40">
                  <c:v>5000</c:v>
                </c:pt>
                <c:pt idx="41">
                  <c:v>6000</c:v>
                </c:pt>
                <c:pt idx="42">
                  <c:v>7000</c:v>
                </c:pt>
                <c:pt idx="43">
                  <c:v>8000</c:v>
                </c:pt>
                <c:pt idx="44">
                  <c:v>9000</c:v>
                </c:pt>
                <c:pt idx="45">
                  <c:v>10000</c:v>
                </c:pt>
                <c:pt idx="46">
                  <c:v>11000</c:v>
                </c:pt>
                <c:pt idx="47">
                  <c:v>12000</c:v>
                </c:pt>
                <c:pt idx="48">
                  <c:v>13000</c:v>
                </c:pt>
                <c:pt idx="49">
                  <c:v>15000</c:v>
                </c:pt>
                <c:pt idx="50">
                  <c:v>17000</c:v>
                </c:pt>
                <c:pt idx="51">
                  <c:v>20000</c:v>
                </c:pt>
                <c:pt idx="52">
                  <c:v>25000</c:v>
                </c:pt>
                <c:pt idx="53">
                  <c:v>30000</c:v>
                </c:pt>
                <c:pt idx="54">
                  <c:v>40000</c:v>
                </c:pt>
                <c:pt idx="55">
                  <c:v>50000</c:v>
                </c:pt>
                <c:pt idx="56">
                  <c:v>60000</c:v>
                </c:pt>
                <c:pt idx="57">
                  <c:v>70000</c:v>
                </c:pt>
                <c:pt idx="58">
                  <c:v>80000</c:v>
                </c:pt>
                <c:pt idx="59">
                  <c:v>90000</c:v>
                </c:pt>
                <c:pt idx="60">
                  <c:v>100000</c:v>
                </c:pt>
              </c:numCache>
            </c:numRef>
          </c:xVal>
          <c:yVal>
            <c:numRef>
              <c:f>'RIAA コイル抵抗考慮'!$HV$26:$HV$86</c:f>
              <c:numCache>
                <c:formatCode>General</c:formatCode>
                <c:ptCount val="61"/>
                <c:pt idx="0">
                  <c:v>19.382629629240185</c:v>
                </c:pt>
                <c:pt idx="1">
                  <c:v>19.353571170602375</c:v>
                </c:pt>
                <c:pt idx="2">
                  <c:v>19.321925431181658</c:v>
                </c:pt>
                <c:pt idx="3">
                  <c:v>19.28774018765596</c:v>
                </c:pt>
                <c:pt idx="4">
                  <c:v>19.211959715126934</c:v>
                </c:pt>
                <c:pt idx="5">
                  <c:v>19.126679058283692</c:v>
                </c:pt>
                <c:pt idx="6">
                  <c:v>18.982041724590228</c:v>
                </c:pt>
                <c:pt idx="7">
                  <c:v>18.701022587007529</c:v>
                </c:pt>
                <c:pt idx="8">
                  <c:v>18.3781005372526</c:v>
                </c:pt>
                <c:pt idx="9">
                  <c:v>17.643816716274181</c:v>
                </c:pt>
                <c:pt idx="10">
                  <c:v>16.846264477693829</c:v>
                </c:pt>
                <c:pt idx="11">
                  <c:v>16.034516402985304</c:v>
                </c:pt>
                <c:pt idx="12">
                  <c:v>15.239060719817605</c:v>
                </c:pt>
                <c:pt idx="13">
                  <c:v>14.47643387684257</c:v>
                </c:pt>
                <c:pt idx="14">
                  <c:v>13.754239139776541</c:v>
                </c:pt>
                <c:pt idx="15">
                  <c:v>13.074869645263496</c:v>
                </c:pt>
                <c:pt idx="16">
                  <c:v>12.437880955261011</c:v>
                </c:pt>
                <c:pt idx="17">
                  <c:v>11.841393133360647</c:v>
                </c:pt>
                <c:pt idx="18">
                  <c:v>11.282883979955697</c:v>
                </c:pt>
                <c:pt idx="19">
                  <c:v>10.268901613863614</c:v>
                </c:pt>
                <c:pt idx="20">
                  <c:v>9.374962129705807</c:v>
                </c:pt>
                <c:pt idx="21">
                  <c:v>8.2199479550085641</c:v>
                </c:pt>
                <c:pt idx="22">
                  <c:v>6.6776113911335315</c:v>
                </c:pt>
                <c:pt idx="23">
                  <c:v>5.4847968957543678</c:v>
                </c:pt>
                <c:pt idx="24">
                  <c:v>3.7832701952336372</c:v>
                </c:pt>
                <c:pt idx="25">
                  <c:v>2.6465307010834529</c:v>
                </c:pt>
                <c:pt idx="26">
                  <c:v>1.8392667141710746</c:v>
                </c:pt>
                <c:pt idx="27">
                  <c:v>1.2321493518684434</c:v>
                </c:pt>
                <c:pt idx="28">
                  <c:v>0.75031210455803787</c:v>
                </c:pt>
                <c:pt idx="29">
                  <c:v>0.34883493892469275</c:v>
                </c:pt>
                <c:pt idx="30">
                  <c:v>0</c:v>
                </c:pt>
                <c:pt idx="31">
                  <c:v>-0.31368860260452536</c:v>
                </c:pt>
                <c:pt idx="32">
                  <c:v>-0.60347584242055419</c:v>
                </c:pt>
                <c:pt idx="33">
                  <c:v>-0.87668835677263957</c:v>
                </c:pt>
                <c:pt idx="34">
                  <c:v>-1.3910282339902444</c:v>
                </c:pt>
                <c:pt idx="35">
                  <c:v>-1.8787821322024207</c:v>
                </c:pt>
                <c:pt idx="36">
                  <c:v>-2.5798282118261788</c:v>
                </c:pt>
                <c:pt idx="37">
                  <c:v>-3.6877841664653523</c:v>
                </c:pt>
                <c:pt idx="38">
                  <c:v>-4.7247451235214193</c:v>
                </c:pt>
                <c:pt idx="39">
                  <c:v>-6.5858607295385632</c:v>
                </c:pt>
                <c:pt idx="40">
                  <c:v>-8.187909182306651</c:v>
                </c:pt>
                <c:pt idx="41">
                  <c:v>-9.5757049697896903</c:v>
                </c:pt>
                <c:pt idx="42">
                  <c:v>-10.79154649891721</c:v>
                </c:pt>
                <c:pt idx="43">
                  <c:v>-11.869335670347535</c:v>
                </c:pt>
                <c:pt idx="44">
                  <c:v>-12.835108905047608</c:v>
                </c:pt>
                <c:pt idx="45">
                  <c:v>-13.708762208628986</c:v>
                </c:pt>
                <c:pt idx="46">
                  <c:v>-14.505624517129203</c:v>
                </c:pt>
                <c:pt idx="47">
                  <c:v>-15.23765725275118</c:v>
                </c:pt>
                <c:pt idx="48">
                  <c:v>-15.914324223684606</c:v>
                </c:pt>
                <c:pt idx="49">
                  <c:v>-17.130497005483239</c:v>
                </c:pt>
                <c:pt idx="50">
                  <c:v>-18.199645680980712</c:v>
                </c:pt>
                <c:pt idx="51">
                  <c:v>-19.593621405438807</c:v>
                </c:pt>
                <c:pt idx="52">
                  <c:v>-21.515209309432034</c:v>
                </c:pt>
                <c:pt idx="53">
                  <c:v>-23.089780404554137</c:v>
                </c:pt>
                <c:pt idx="54">
                  <c:v>-25.5795318134555</c:v>
                </c:pt>
                <c:pt idx="55">
                  <c:v>-27.513548469459838</c:v>
                </c:pt>
                <c:pt idx="56">
                  <c:v>-29.094898928815322</c:v>
                </c:pt>
                <c:pt idx="57">
                  <c:v>-30.432462650173374</c:v>
                </c:pt>
                <c:pt idx="58">
                  <c:v>-31.591410803791764</c:v>
                </c:pt>
                <c:pt idx="59">
                  <c:v>-32.613850415011797</c:v>
                </c:pt>
                <c:pt idx="60">
                  <c:v>-33.528563238774581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EFF3-4E1F-B594-3C84D54EA46B}"/>
            </c:ext>
          </c:extLst>
        </c:ser>
        <c:ser>
          <c:idx val="0"/>
          <c:order val="3"/>
          <c:tx>
            <c:strRef>
              <c:f>'RIAA コイル抵抗考慮'!$HX$25</c:f>
              <c:strCache>
                <c:ptCount val="1"/>
                <c:pt idx="0">
                  <c:v>Imp誤差(対基準)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'RIAA コイル抵抗考慮'!$FT$26:$FT$86</c:f>
              <c:numCache>
                <c:formatCode>General</c:formatCode>
                <c:ptCount val="61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15</c:v>
                </c:pt>
                <c:pt idx="5">
                  <c:v>17</c:v>
                </c:pt>
                <c:pt idx="6">
                  <c:v>20</c:v>
                </c:pt>
                <c:pt idx="7">
                  <c:v>25</c:v>
                </c:pt>
                <c:pt idx="8">
                  <c:v>30</c:v>
                </c:pt>
                <c:pt idx="9">
                  <c:v>40</c:v>
                </c:pt>
                <c:pt idx="10">
                  <c:v>50</c:v>
                </c:pt>
                <c:pt idx="11">
                  <c:v>60</c:v>
                </c:pt>
                <c:pt idx="12">
                  <c:v>70</c:v>
                </c:pt>
                <c:pt idx="13">
                  <c:v>80</c:v>
                </c:pt>
                <c:pt idx="14">
                  <c:v>90</c:v>
                </c:pt>
                <c:pt idx="15">
                  <c:v>100</c:v>
                </c:pt>
                <c:pt idx="16">
                  <c:v>110</c:v>
                </c:pt>
                <c:pt idx="17">
                  <c:v>120</c:v>
                </c:pt>
                <c:pt idx="18">
                  <c:v>130</c:v>
                </c:pt>
                <c:pt idx="19">
                  <c:v>150</c:v>
                </c:pt>
                <c:pt idx="20">
                  <c:v>170</c:v>
                </c:pt>
                <c:pt idx="21">
                  <c:v>200</c:v>
                </c:pt>
                <c:pt idx="22">
                  <c:v>250</c:v>
                </c:pt>
                <c:pt idx="23">
                  <c:v>300</c:v>
                </c:pt>
                <c:pt idx="24">
                  <c:v>400</c:v>
                </c:pt>
                <c:pt idx="25">
                  <c:v>500</c:v>
                </c:pt>
                <c:pt idx="26">
                  <c:v>600</c:v>
                </c:pt>
                <c:pt idx="27">
                  <c:v>700</c:v>
                </c:pt>
                <c:pt idx="28">
                  <c:v>800</c:v>
                </c:pt>
                <c:pt idx="29">
                  <c:v>900</c:v>
                </c:pt>
                <c:pt idx="30">
                  <c:v>1000</c:v>
                </c:pt>
                <c:pt idx="31">
                  <c:v>1100</c:v>
                </c:pt>
                <c:pt idx="32">
                  <c:v>1200</c:v>
                </c:pt>
                <c:pt idx="33">
                  <c:v>1300</c:v>
                </c:pt>
                <c:pt idx="34">
                  <c:v>1500</c:v>
                </c:pt>
                <c:pt idx="35">
                  <c:v>1700</c:v>
                </c:pt>
                <c:pt idx="36">
                  <c:v>2000</c:v>
                </c:pt>
                <c:pt idx="37">
                  <c:v>2500</c:v>
                </c:pt>
                <c:pt idx="38">
                  <c:v>3000</c:v>
                </c:pt>
                <c:pt idx="39">
                  <c:v>4000</c:v>
                </c:pt>
                <c:pt idx="40">
                  <c:v>5000</c:v>
                </c:pt>
                <c:pt idx="41">
                  <c:v>6000</c:v>
                </c:pt>
                <c:pt idx="42">
                  <c:v>7000</c:v>
                </c:pt>
                <c:pt idx="43">
                  <c:v>8000</c:v>
                </c:pt>
                <c:pt idx="44">
                  <c:v>9000</c:v>
                </c:pt>
                <c:pt idx="45">
                  <c:v>10000</c:v>
                </c:pt>
                <c:pt idx="46">
                  <c:v>11000</c:v>
                </c:pt>
                <c:pt idx="47">
                  <c:v>12000</c:v>
                </c:pt>
                <c:pt idx="48">
                  <c:v>13000</c:v>
                </c:pt>
                <c:pt idx="49">
                  <c:v>15000</c:v>
                </c:pt>
                <c:pt idx="50">
                  <c:v>17000</c:v>
                </c:pt>
                <c:pt idx="51">
                  <c:v>20000</c:v>
                </c:pt>
                <c:pt idx="52">
                  <c:v>25000</c:v>
                </c:pt>
                <c:pt idx="53">
                  <c:v>30000</c:v>
                </c:pt>
                <c:pt idx="54">
                  <c:v>40000</c:v>
                </c:pt>
                <c:pt idx="55">
                  <c:v>50000</c:v>
                </c:pt>
                <c:pt idx="56">
                  <c:v>60000</c:v>
                </c:pt>
                <c:pt idx="57">
                  <c:v>70000</c:v>
                </c:pt>
                <c:pt idx="58">
                  <c:v>80000</c:v>
                </c:pt>
                <c:pt idx="59">
                  <c:v>90000</c:v>
                </c:pt>
                <c:pt idx="60">
                  <c:v>100000</c:v>
                </c:pt>
              </c:numCache>
            </c:numRef>
          </c:xVal>
          <c:yVal>
            <c:numRef>
              <c:f>'RIAA コイル抵抗考慮'!$HX$26:$HX$86</c:f>
              <c:numCache>
                <c:formatCode>0.0000_ </c:formatCode>
                <c:ptCount val="61"/>
                <c:pt idx="0">
                  <c:v>26.173093132197778</c:v>
                </c:pt>
                <c:pt idx="1">
                  <c:v>25.55570842930797</c:v>
                </c:pt>
                <c:pt idx="2">
                  <c:v>24.898183320874409</c:v>
                </c:pt>
                <c:pt idx="3">
                  <c:v>24.204797599905532</c:v>
                </c:pt>
                <c:pt idx="4">
                  <c:v>22.727856002167641</c:v>
                </c:pt>
                <c:pt idx="5">
                  <c:v>21.159594803086407</c:v>
                </c:pt>
                <c:pt idx="6">
                  <c:v>18.708739760124445</c:v>
                </c:pt>
                <c:pt idx="7">
                  <c:v>14.604024197131707</c:v>
                </c:pt>
                <c:pt idx="8">
                  <c:v>10.774128608385354</c:v>
                </c:pt>
                <c:pt idx="9">
                  <c:v>4.6472803786434724</c:v>
                </c:pt>
                <c:pt idx="10">
                  <c:v>0.70314522929811574</c:v>
                </c:pt>
                <c:pt idx="11">
                  <c:v>-1.5423537604959847</c:v>
                </c:pt>
                <c:pt idx="12">
                  <c:v>-2.6829177533326174</c:v>
                </c:pt>
                <c:pt idx="13">
                  <c:v>-3.1688413222648251</c:v>
                </c:pt>
                <c:pt idx="14">
                  <c:v>-3.2894012250379774</c:v>
                </c:pt>
                <c:pt idx="15">
                  <c:v>-3.2167460486726895</c:v>
                </c:pt>
                <c:pt idx="16">
                  <c:v>-3.049248950911533</c:v>
                </c:pt>
                <c:pt idx="17">
                  <c:v>-2.8416367932358071</c:v>
                </c:pt>
                <c:pt idx="18">
                  <c:v>-2.6235698519780044</c:v>
                </c:pt>
                <c:pt idx="19">
                  <c:v>-2.2100778663773326</c:v>
                </c:pt>
                <c:pt idx="20">
                  <c:v>-1.8572159784590667</c:v>
                </c:pt>
                <c:pt idx="21">
                  <c:v>-1.4448656713218497</c:v>
                </c:pt>
                <c:pt idx="22">
                  <c:v>-0.9895557763453553</c:v>
                </c:pt>
                <c:pt idx="23">
                  <c:v>-0.71150560704757027</c:v>
                </c:pt>
                <c:pt idx="24">
                  <c:v>-0.4122139359637913</c:v>
                </c:pt>
                <c:pt idx="25">
                  <c:v>-0.26611665636278303</c:v>
                </c:pt>
                <c:pt idx="26">
                  <c:v>-0.18519594932286054</c:v>
                </c:pt>
                <c:pt idx="27">
                  <c:v>-0.13628090043198426</c:v>
                </c:pt>
                <c:pt idx="28">
                  <c:v>-0.1048047512613266</c:v>
                </c:pt>
                <c:pt idx="29">
                  <c:v>-8.3587413928171372E-2</c:v>
                </c:pt>
                <c:pt idx="30">
                  <c:v>-6.8762379147642605E-2</c:v>
                </c:pt>
                <c:pt idx="31">
                  <c:v>-5.8098518551560119E-2</c:v>
                </c:pt>
                <c:pt idx="32">
                  <c:v>-5.0236014150527808E-2</c:v>
                </c:pt>
                <c:pt idx="33">
                  <c:v>-4.4309254847576085E-2</c:v>
                </c:pt>
                <c:pt idx="34">
                  <c:v>-3.6165582623539194E-2</c:v>
                </c:pt>
                <c:pt idx="35">
                  <c:v>-3.0948696259883945E-2</c:v>
                </c:pt>
                <c:pt idx="36">
                  <c:v>-2.5888832193572853E-2</c:v>
                </c:pt>
                <c:pt idx="37">
                  <c:v>-2.0650154308100355E-2</c:v>
                </c:pt>
                <c:pt idx="38">
                  <c:v>-1.7039509858477686E-2</c:v>
                </c:pt>
                <c:pt idx="39">
                  <c:v>-1.2008871386001374E-2</c:v>
                </c:pt>
                <c:pt idx="40">
                  <c:v>-8.7351845608054646E-3</c:v>
                </c:pt>
                <c:pt idx="41">
                  <c:v>-6.5523480203637519E-3</c:v>
                </c:pt>
                <c:pt idx="42">
                  <c:v>-5.0574832754364252E-3</c:v>
                </c:pt>
                <c:pt idx="43">
                  <c:v>-4.0030451240227194E-3</c:v>
                </c:pt>
                <c:pt idx="44">
                  <c:v>-3.2376981395145776E-3</c:v>
                </c:pt>
                <c:pt idx="45">
                  <c:v>-2.6675399918758558E-3</c:v>
                </c:pt>
                <c:pt idx="46">
                  <c:v>-2.2328699952822717E-3</c:v>
                </c:pt>
                <c:pt idx="47">
                  <c:v>-1.8946936610291232E-3</c:v>
                </c:pt>
                <c:pt idx="48">
                  <c:v>-1.6268554545604275E-3</c:v>
                </c:pt>
                <c:pt idx="49">
                  <c:v>-1.2355802617776135E-3</c:v>
                </c:pt>
                <c:pt idx="50">
                  <c:v>-9.6917141161156906E-4</c:v>
                </c:pt>
                <c:pt idx="51">
                  <c:v>-7.0538103341277747E-4</c:v>
                </c:pt>
                <c:pt idx="52">
                  <c:v>-4.5457658620762231E-4</c:v>
                </c:pt>
                <c:pt idx="53">
                  <c:v>-3.168715345509554E-4</c:v>
                </c:pt>
                <c:pt idx="54">
                  <c:v>-1.7891228844746365E-4</c:v>
                </c:pt>
                <c:pt idx="55">
                  <c:v>-1.1470394747448154E-4</c:v>
                </c:pt>
                <c:pt idx="56">
                  <c:v>-7.9731181699571607E-5</c:v>
                </c:pt>
                <c:pt idx="57">
                  <c:v>-5.8611575809663918E-5</c:v>
                </c:pt>
                <c:pt idx="58">
                  <c:v>-4.4891181005368708E-5</c:v>
                </c:pt>
                <c:pt idx="59">
                  <c:v>-3.5478623317430902E-5</c:v>
                </c:pt>
                <c:pt idx="60">
                  <c:v>-2.8742929430336517E-5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EFF3-4E1F-B594-3C84D54EA46B}"/>
            </c:ext>
          </c:extLst>
        </c:ser>
        <c:ser>
          <c:idx val="4"/>
          <c:order val="4"/>
          <c:tx>
            <c:strRef>
              <c:f>'RIAA コイル抵抗考慮'!$HY$25</c:f>
              <c:strCache>
                <c:ptCount val="1"/>
                <c:pt idx="0">
                  <c:v>Ec2修正値</c:v>
                </c:pt>
              </c:strCache>
            </c:strRef>
          </c:tx>
          <c:spPr>
            <a:ln>
              <a:solidFill>
                <a:srgbClr val="FF66FF"/>
              </a:solidFill>
            </a:ln>
          </c:spPr>
          <c:marker>
            <c:symbol val="none"/>
          </c:marker>
          <c:xVal>
            <c:numRef>
              <c:f>'RIAA コイル抵抗考慮'!$HQ$26:$HQ$86</c:f>
              <c:numCache>
                <c:formatCode>General</c:formatCode>
                <c:ptCount val="61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15</c:v>
                </c:pt>
                <c:pt idx="5">
                  <c:v>17</c:v>
                </c:pt>
                <c:pt idx="6">
                  <c:v>20</c:v>
                </c:pt>
                <c:pt idx="7">
                  <c:v>25</c:v>
                </c:pt>
                <c:pt idx="8">
                  <c:v>30</c:v>
                </c:pt>
                <c:pt idx="9">
                  <c:v>40</c:v>
                </c:pt>
                <c:pt idx="10">
                  <c:v>50</c:v>
                </c:pt>
                <c:pt idx="11">
                  <c:v>60</c:v>
                </c:pt>
                <c:pt idx="12">
                  <c:v>70</c:v>
                </c:pt>
                <c:pt idx="13">
                  <c:v>80</c:v>
                </c:pt>
                <c:pt idx="14">
                  <c:v>90</c:v>
                </c:pt>
                <c:pt idx="15">
                  <c:v>100</c:v>
                </c:pt>
                <c:pt idx="16">
                  <c:v>110</c:v>
                </c:pt>
                <c:pt idx="17">
                  <c:v>120</c:v>
                </c:pt>
                <c:pt idx="18">
                  <c:v>130</c:v>
                </c:pt>
                <c:pt idx="19">
                  <c:v>150</c:v>
                </c:pt>
                <c:pt idx="20">
                  <c:v>170</c:v>
                </c:pt>
                <c:pt idx="21">
                  <c:v>200</c:v>
                </c:pt>
                <c:pt idx="22">
                  <c:v>250</c:v>
                </c:pt>
                <c:pt idx="23">
                  <c:v>300</c:v>
                </c:pt>
                <c:pt idx="24">
                  <c:v>400</c:v>
                </c:pt>
                <c:pt idx="25">
                  <c:v>500</c:v>
                </c:pt>
                <c:pt idx="26">
                  <c:v>600</c:v>
                </c:pt>
                <c:pt idx="27">
                  <c:v>700</c:v>
                </c:pt>
                <c:pt idx="28">
                  <c:v>800</c:v>
                </c:pt>
                <c:pt idx="29">
                  <c:v>900</c:v>
                </c:pt>
                <c:pt idx="30">
                  <c:v>1000</c:v>
                </c:pt>
                <c:pt idx="31">
                  <c:v>1100</c:v>
                </c:pt>
                <c:pt idx="32">
                  <c:v>1200</c:v>
                </c:pt>
                <c:pt idx="33">
                  <c:v>1300</c:v>
                </c:pt>
                <c:pt idx="34">
                  <c:v>1500</c:v>
                </c:pt>
                <c:pt idx="35">
                  <c:v>1700</c:v>
                </c:pt>
                <c:pt idx="36">
                  <c:v>2000</c:v>
                </c:pt>
                <c:pt idx="37">
                  <c:v>2500</c:v>
                </c:pt>
                <c:pt idx="38">
                  <c:v>3000</c:v>
                </c:pt>
                <c:pt idx="39">
                  <c:v>4000</c:v>
                </c:pt>
                <c:pt idx="40">
                  <c:v>5000</c:v>
                </c:pt>
                <c:pt idx="41">
                  <c:v>6000</c:v>
                </c:pt>
                <c:pt idx="42">
                  <c:v>7000</c:v>
                </c:pt>
                <c:pt idx="43">
                  <c:v>8000</c:v>
                </c:pt>
                <c:pt idx="44">
                  <c:v>9000</c:v>
                </c:pt>
                <c:pt idx="45">
                  <c:v>10000</c:v>
                </c:pt>
                <c:pt idx="46">
                  <c:v>11000</c:v>
                </c:pt>
                <c:pt idx="47">
                  <c:v>12000</c:v>
                </c:pt>
                <c:pt idx="48">
                  <c:v>13000</c:v>
                </c:pt>
                <c:pt idx="49">
                  <c:v>15000</c:v>
                </c:pt>
                <c:pt idx="50">
                  <c:v>17000</c:v>
                </c:pt>
                <c:pt idx="51">
                  <c:v>20000</c:v>
                </c:pt>
                <c:pt idx="52">
                  <c:v>25000</c:v>
                </c:pt>
                <c:pt idx="53">
                  <c:v>30000</c:v>
                </c:pt>
                <c:pt idx="54">
                  <c:v>40000</c:v>
                </c:pt>
                <c:pt idx="55">
                  <c:v>50000</c:v>
                </c:pt>
                <c:pt idx="56">
                  <c:v>60000</c:v>
                </c:pt>
                <c:pt idx="57">
                  <c:v>70000</c:v>
                </c:pt>
                <c:pt idx="58">
                  <c:v>80000</c:v>
                </c:pt>
                <c:pt idx="59">
                  <c:v>90000</c:v>
                </c:pt>
                <c:pt idx="60">
                  <c:v>100000</c:v>
                </c:pt>
              </c:numCache>
            </c:numRef>
          </c:xVal>
          <c:yVal>
            <c:numRef>
              <c:f>'RIAA コイル抵抗考慮'!$HY$26:$HY$86</c:f>
              <c:numCache>
                <c:formatCode>General</c:formatCode>
                <c:ptCount val="61"/>
                <c:pt idx="0">
                  <c:v>19.454507546833671</c:v>
                </c:pt>
                <c:pt idx="1">
                  <c:v>19.425468680346132</c:v>
                </c:pt>
                <c:pt idx="2">
                  <c:v>19.393844398896835</c:v>
                </c:pt>
                <c:pt idx="3">
                  <c:v>19.359682479136996</c:v>
                </c:pt>
                <c:pt idx="4">
                  <c:v>19.283954251404566</c:v>
                </c:pt>
                <c:pt idx="5">
                  <c:v>19.198733302157144</c:v>
                </c:pt>
                <c:pt idx="6">
                  <c:v>19.054199521945598</c:v>
                </c:pt>
                <c:pt idx="7">
                  <c:v>18.773390282754775</c:v>
                </c:pt>
                <c:pt idx="8">
                  <c:v>18.450724762175987</c:v>
                </c:pt>
                <c:pt idx="9">
                  <c:v>17.717093858535186</c:v>
                </c:pt>
                <c:pt idx="10">
                  <c:v>16.920380945843295</c:v>
                </c:pt>
                <c:pt idx="11">
                  <c:v>16.109658501205423</c:v>
                </c:pt>
                <c:pt idx="12">
                  <c:v>15.31541462481354</c:v>
                </c:pt>
                <c:pt idx="13">
                  <c:v>14.554185614784767</c:v>
                </c:pt>
                <c:pt idx="14">
                  <c:v>13.833574563302893</c:v>
                </c:pt>
                <c:pt idx="15">
                  <c:v>13.155974410550353</c:v>
                </c:pt>
                <c:pt idx="16">
                  <c:v>12.520940499172111</c:v>
                </c:pt>
                <c:pt idx="17">
                  <c:v>11.926592650682949</c:v>
                </c:pt>
                <c:pt idx="18">
                  <c:v>11.370408400730922</c:v>
                </c:pt>
                <c:pt idx="19">
                  <c:v>10.361629459982947</c:v>
                </c:pt>
                <c:pt idx="20">
                  <c:v>9.4736293825100528</c:v>
                </c:pt>
                <c:pt idx="21">
                  <c:v>8.3288977944684035</c:v>
                </c:pt>
                <c:pt idx="22">
                  <c:v>6.8073324125199743</c:v>
                </c:pt>
                <c:pt idx="23">
                  <c:v>5.6397751950558881</c:v>
                </c:pt>
                <c:pt idx="24">
                  <c:v>4.0019058715873044</c:v>
                </c:pt>
                <c:pt idx="25">
                  <c:v>2.9457062434810588</c:v>
                </c:pt>
                <c:pt idx="26">
                  <c:v>2.2349533406319857</c:v>
                </c:pt>
                <c:pt idx="27">
                  <c:v>1.7392735242138002</c:v>
                </c:pt>
                <c:pt idx="28">
                  <c:v>1.3826555845769271</c:v>
                </c:pt>
                <c:pt idx="29">
                  <c:v>1.1189685768529145</c:v>
                </c:pt>
                <c:pt idx="30">
                  <c:v>0.9192496934783243</c:v>
                </c:pt>
                <c:pt idx="31">
                  <c:v>0.76475327001645965</c:v>
                </c:pt>
                <c:pt idx="32">
                  <c:v>0.64300504263674441</c:v>
                </c:pt>
                <c:pt idx="33">
                  <c:v>0.5454904236349698</c:v>
                </c:pt>
                <c:pt idx="34">
                  <c:v>0.40107099672396274</c:v>
                </c:pt>
                <c:pt idx="35">
                  <c:v>0.30125445822038799</c:v>
                </c:pt>
                <c:pt idx="36">
                  <c:v>0.20118758317194718</c:v>
                </c:pt>
                <c:pt idx="37">
                  <c:v>0.10519216299722345</c:v>
                </c:pt>
                <c:pt idx="38">
                  <c:v>5.2569924547118063E-2</c:v>
                </c:pt>
                <c:pt idx="39">
                  <c:v>7.2221564072449951E-4</c:v>
                </c:pt>
                <c:pt idx="40">
                  <c:v>-2.2673605934755869E-2</c:v>
                </c:pt>
                <c:pt idx="41">
                  <c:v>-3.5069280399468994E-2</c:v>
                </c:pt>
                <c:pt idx="42">
                  <c:v>-4.2395176642429533E-2</c:v>
                </c:pt>
                <c:pt idx="43">
                  <c:v>-4.7077652072360365E-2</c:v>
                </c:pt>
                <c:pt idx="44">
                  <c:v>-5.0250793859738963E-2</c:v>
                </c:pt>
                <c:pt idx="45">
                  <c:v>-5.2500393608806206E-2</c:v>
                </c:pt>
                <c:pt idx="46">
                  <c:v>-5.4153386888515342E-2</c:v>
                </c:pt>
                <c:pt idx="47">
                  <c:v>-5.5403814023620157E-2</c:v>
                </c:pt>
                <c:pt idx="48">
                  <c:v>-5.6372734578200578E-2</c:v>
                </c:pt>
                <c:pt idx="49">
                  <c:v>-5.7755158519000815E-2</c:v>
                </c:pt>
                <c:pt idx="50">
                  <c:v>-5.8674581120520486E-2</c:v>
                </c:pt>
                <c:pt idx="51">
                  <c:v>-5.9568009166103053E-2</c:v>
                </c:pt>
                <c:pt idx="52">
                  <c:v>-6.040216236801399E-2</c:v>
                </c:pt>
                <c:pt idx="53">
                  <c:v>-6.0853937614243847E-2</c:v>
                </c:pt>
                <c:pt idx="54">
                  <c:v>-6.1302192907508157E-2</c:v>
                </c:pt>
                <c:pt idx="55">
                  <c:v>-6.1509346227534678E-2</c:v>
                </c:pt>
                <c:pt idx="56">
                  <c:v>-6.1621787217486457E-2</c:v>
                </c:pt>
                <c:pt idx="57">
                  <c:v>-6.1689555977501698E-2</c:v>
                </c:pt>
                <c:pt idx="58">
                  <c:v>-6.1733528564751339E-2</c:v>
                </c:pt>
                <c:pt idx="59">
                  <c:v>-6.1763670586188368E-2</c:v>
                </c:pt>
                <c:pt idx="60">
                  <c:v>-6.1785228279944704E-2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EFF3-4E1F-B594-3C84D54EA4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1182080"/>
        <c:axId val="121204736"/>
      </c:scatterChart>
      <c:scatterChart>
        <c:scatterStyle val="smoothMarker"/>
        <c:varyColors val="0"/>
        <c:ser>
          <c:idx val="3"/>
          <c:order val="2"/>
          <c:tx>
            <c:strRef>
              <c:f>'RIAA コイル抵抗考慮'!$HZ$25</c:f>
              <c:strCache>
                <c:ptCount val="1"/>
                <c:pt idx="0">
                  <c:v>レベル誤差(dB)</c:v>
                </c:pt>
              </c:strCache>
            </c:strRef>
          </c:tx>
          <c:spPr>
            <a:ln w="22225" cap="rnd">
              <a:solidFill>
                <a:srgbClr val="0000FF"/>
              </a:solidFill>
              <a:round/>
            </a:ln>
            <a:effectLst/>
          </c:spPr>
          <c:marker>
            <c:symbol val="none"/>
          </c:marker>
          <c:xVal>
            <c:numRef>
              <c:f>'RIAA コイル抵抗考慮'!$HQ$26:$HQ$86</c:f>
              <c:numCache>
                <c:formatCode>General</c:formatCode>
                <c:ptCount val="61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15</c:v>
                </c:pt>
                <c:pt idx="5">
                  <c:v>17</c:v>
                </c:pt>
                <c:pt idx="6">
                  <c:v>20</c:v>
                </c:pt>
                <c:pt idx="7">
                  <c:v>25</c:v>
                </c:pt>
                <c:pt idx="8">
                  <c:v>30</c:v>
                </c:pt>
                <c:pt idx="9">
                  <c:v>40</c:v>
                </c:pt>
                <c:pt idx="10">
                  <c:v>50</c:v>
                </c:pt>
                <c:pt idx="11">
                  <c:v>60</c:v>
                </c:pt>
                <c:pt idx="12">
                  <c:v>70</c:v>
                </c:pt>
                <c:pt idx="13">
                  <c:v>80</c:v>
                </c:pt>
                <c:pt idx="14">
                  <c:v>90</c:v>
                </c:pt>
                <c:pt idx="15">
                  <c:v>100</c:v>
                </c:pt>
                <c:pt idx="16">
                  <c:v>110</c:v>
                </c:pt>
                <c:pt idx="17">
                  <c:v>120</c:v>
                </c:pt>
                <c:pt idx="18">
                  <c:v>130</c:v>
                </c:pt>
                <c:pt idx="19">
                  <c:v>150</c:v>
                </c:pt>
                <c:pt idx="20">
                  <c:v>170</c:v>
                </c:pt>
                <c:pt idx="21">
                  <c:v>200</c:v>
                </c:pt>
                <c:pt idx="22">
                  <c:v>250</c:v>
                </c:pt>
                <c:pt idx="23">
                  <c:v>300</c:v>
                </c:pt>
                <c:pt idx="24">
                  <c:v>400</c:v>
                </c:pt>
                <c:pt idx="25">
                  <c:v>500</c:v>
                </c:pt>
                <c:pt idx="26">
                  <c:v>600</c:v>
                </c:pt>
                <c:pt idx="27">
                  <c:v>700</c:v>
                </c:pt>
                <c:pt idx="28">
                  <c:v>800</c:v>
                </c:pt>
                <c:pt idx="29">
                  <c:v>900</c:v>
                </c:pt>
                <c:pt idx="30">
                  <c:v>1000</c:v>
                </c:pt>
                <c:pt idx="31">
                  <c:v>1100</c:v>
                </c:pt>
                <c:pt idx="32">
                  <c:v>1200</c:v>
                </c:pt>
                <c:pt idx="33">
                  <c:v>1300</c:v>
                </c:pt>
                <c:pt idx="34">
                  <c:v>1500</c:v>
                </c:pt>
                <c:pt idx="35">
                  <c:v>1700</c:v>
                </c:pt>
                <c:pt idx="36">
                  <c:v>2000</c:v>
                </c:pt>
                <c:pt idx="37">
                  <c:v>2500</c:v>
                </c:pt>
                <c:pt idx="38">
                  <c:v>3000</c:v>
                </c:pt>
                <c:pt idx="39">
                  <c:v>4000</c:v>
                </c:pt>
                <c:pt idx="40">
                  <c:v>5000</c:v>
                </c:pt>
                <c:pt idx="41">
                  <c:v>6000</c:v>
                </c:pt>
                <c:pt idx="42">
                  <c:v>7000</c:v>
                </c:pt>
                <c:pt idx="43">
                  <c:v>8000</c:v>
                </c:pt>
                <c:pt idx="44">
                  <c:v>9000</c:v>
                </c:pt>
                <c:pt idx="45">
                  <c:v>10000</c:v>
                </c:pt>
                <c:pt idx="46">
                  <c:v>11000</c:v>
                </c:pt>
                <c:pt idx="47">
                  <c:v>12000</c:v>
                </c:pt>
                <c:pt idx="48">
                  <c:v>13000</c:v>
                </c:pt>
                <c:pt idx="49">
                  <c:v>15000</c:v>
                </c:pt>
                <c:pt idx="50">
                  <c:v>17000</c:v>
                </c:pt>
                <c:pt idx="51">
                  <c:v>20000</c:v>
                </c:pt>
                <c:pt idx="52">
                  <c:v>25000</c:v>
                </c:pt>
                <c:pt idx="53">
                  <c:v>30000</c:v>
                </c:pt>
                <c:pt idx="54">
                  <c:v>40000</c:v>
                </c:pt>
                <c:pt idx="55">
                  <c:v>50000</c:v>
                </c:pt>
                <c:pt idx="56">
                  <c:v>60000</c:v>
                </c:pt>
                <c:pt idx="57">
                  <c:v>70000</c:v>
                </c:pt>
                <c:pt idx="58">
                  <c:v>80000</c:v>
                </c:pt>
                <c:pt idx="59">
                  <c:v>90000</c:v>
                </c:pt>
                <c:pt idx="60">
                  <c:v>100000</c:v>
                </c:pt>
              </c:numCache>
            </c:numRef>
          </c:xVal>
          <c:yVal>
            <c:numRef>
              <c:f>'RIAA コイル抵抗考慮'!$HZ$26:$HZ$86</c:f>
              <c:numCache>
                <c:formatCode>0.00000</c:formatCode>
                <c:ptCount val="61"/>
                <c:pt idx="0">
                  <c:v>-0.36132500092904962</c:v>
                </c:pt>
                <c:pt idx="1">
                  <c:v>-0.35579317931022558</c:v>
                </c:pt>
                <c:pt idx="2">
                  <c:v>-0.34987399186060841</c:v>
                </c:pt>
                <c:pt idx="3">
                  <c:v>-0.34360028103456131</c:v>
                </c:pt>
                <c:pt idx="4">
                  <c:v>-0.33012460623527318</c:v>
                </c:pt>
                <c:pt idx="5">
                  <c:v>-0.31563972963011366</c:v>
                </c:pt>
                <c:pt idx="6">
                  <c:v>-0.29260993468886909</c:v>
                </c:pt>
                <c:pt idx="7">
                  <c:v>-0.25280902116221426</c:v>
                </c:pt>
                <c:pt idx="8">
                  <c:v>-0.21395682069000443</c:v>
                </c:pt>
                <c:pt idx="9">
                  <c:v>-0.14664921089647009</c:v>
                </c:pt>
                <c:pt idx="10">
                  <c:v>-9.7008500129494024E-2</c:v>
                </c:pt>
                <c:pt idx="11">
                  <c:v>-6.2999956170372684E-2</c:v>
                </c:pt>
                <c:pt idx="12">
                  <c:v>-4.0408156907044912E-2</c:v>
                </c:pt>
                <c:pt idx="13">
                  <c:v>-2.5502979020084027E-2</c:v>
                </c:pt>
                <c:pt idx="14">
                  <c:v>-1.5612507750365268E-2</c:v>
                </c:pt>
                <c:pt idx="15">
                  <c:v>-8.9729965135436629E-3</c:v>
                </c:pt>
                <c:pt idx="16">
                  <c:v>-4.455344776026493E-3</c:v>
                </c:pt>
                <c:pt idx="17">
                  <c:v>-1.3413652328271297E-3</c:v>
                </c:pt>
                <c:pt idx="18">
                  <c:v>8.2845310618040457E-4</c:v>
                </c:pt>
                <c:pt idx="19">
                  <c:v>3.4241849604637054E-3</c:v>
                </c:pt>
                <c:pt idx="20">
                  <c:v>4.6984670947303186E-3</c:v>
                </c:pt>
                <c:pt idx="21">
                  <c:v>5.4097239661672347E-3</c:v>
                </c:pt>
                <c:pt idx="22">
                  <c:v>5.2637708872698141E-3</c:v>
                </c:pt>
                <c:pt idx="23">
                  <c:v>4.5385042750787363E-3</c:v>
                </c:pt>
                <c:pt idx="24">
                  <c:v>2.7968348798133036E-3</c:v>
                </c:pt>
                <c:pt idx="25">
                  <c:v>1.3252670148631296E-3</c:v>
                </c:pt>
                <c:pt idx="26">
                  <c:v>3.1394034828124973E-4</c:v>
                </c:pt>
                <c:pt idx="27">
                  <c:v>-2.5193939895729045E-4</c:v>
                </c:pt>
                <c:pt idx="28">
                  <c:v>-4.426135495947392E-4</c:v>
                </c:pt>
                <c:pt idx="29">
                  <c:v>-3.3556263785072815E-4</c:v>
                </c:pt>
                <c:pt idx="30">
                  <c:v>0</c:v>
                </c:pt>
                <c:pt idx="31">
                  <c:v>5.0663697142638853E-4</c:v>
                </c:pt>
                <c:pt idx="32">
                  <c:v>1.138098163686152E-3</c:v>
                </c:pt>
                <c:pt idx="33">
                  <c:v>1.857627721872035E-3</c:v>
                </c:pt>
                <c:pt idx="34">
                  <c:v>3.4510510575458397E-3</c:v>
                </c:pt>
                <c:pt idx="35">
                  <c:v>5.1223213189572903E-3</c:v>
                </c:pt>
                <c:pt idx="36">
                  <c:v>7.5708711044626398E-3</c:v>
                </c:pt>
                <c:pt idx="37">
                  <c:v>1.1156852014075014E-2</c:v>
                </c:pt>
                <c:pt idx="38">
                  <c:v>1.4002234588243567E-2</c:v>
                </c:pt>
                <c:pt idx="39">
                  <c:v>1.7873932240572543E-2</c:v>
                </c:pt>
                <c:pt idx="40">
                  <c:v>2.0179870098200325E-2</c:v>
                </c:pt>
                <c:pt idx="41">
                  <c:v>2.1614413510018693E-2</c:v>
                </c:pt>
                <c:pt idx="42">
                  <c:v>2.2552071910197924E-2</c:v>
                </c:pt>
                <c:pt idx="43">
                  <c:v>2.31929144288614E-2</c:v>
                </c:pt>
                <c:pt idx="44">
                  <c:v>2.3647918359259279E-2</c:v>
                </c:pt>
                <c:pt idx="45">
                  <c:v>2.3981538136290226E-2</c:v>
                </c:pt>
                <c:pt idx="46">
                  <c:v>2.4232898773455247E-2</c:v>
                </c:pt>
                <c:pt idx="47">
                  <c:v>2.442671368316951E-2</c:v>
                </c:pt>
                <c:pt idx="48">
                  <c:v>2.4579150564647989E-2</c:v>
                </c:pt>
                <c:pt idx="49">
                  <c:v>2.4800173466715592E-2</c:v>
                </c:pt>
                <c:pt idx="50">
                  <c:v>2.4949546606912065E-2</c:v>
                </c:pt>
                <c:pt idx="51">
                  <c:v>2.509657441871127E-2</c:v>
                </c:pt>
                <c:pt idx="52">
                  <c:v>2.5235565081963784E-2</c:v>
                </c:pt>
                <c:pt idx="53">
                  <c:v>2.5311550586664566E-2</c:v>
                </c:pt>
                <c:pt idx="54">
                  <c:v>2.5387445326849445E-2</c:v>
                </c:pt>
                <c:pt idx="55">
                  <c:v>2.5422689477395011E-2</c:v>
                </c:pt>
                <c:pt idx="56">
                  <c:v>2.5441865258883922E-2</c:v>
                </c:pt>
                <c:pt idx="57">
                  <c:v>2.5453438152730712E-2</c:v>
                </c:pt>
                <c:pt idx="58">
                  <c:v>2.5460953638834383E-2</c:v>
                </c:pt>
                <c:pt idx="59">
                  <c:v>2.5466108157999656E-2</c:v>
                </c:pt>
                <c:pt idx="60">
                  <c:v>2.5469796117178589E-2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EFF3-4E1F-B594-3C84D54EA4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1221120"/>
        <c:axId val="121206656"/>
      </c:scatterChart>
      <c:valAx>
        <c:axId val="121182080"/>
        <c:scaling>
          <c:logBase val="10"/>
          <c:orientation val="minMax"/>
          <c:min val="10"/>
        </c:scaling>
        <c:delete val="0"/>
        <c:axPos val="b"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周波数</a:t>
                </a:r>
                <a:r>
                  <a:rPr lang="en-US" altLang="ja-JP"/>
                  <a:t>(Hz)</a:t>
                </a:r>
                <a:endParaRPr lang="ja-JP" altLang="en-US"/>
              </a:p>
            </c:rich>
          </c:tx>
          <c:layout>
            <c:manualLayout>
              <c:xMode val="edge"/>
              <c:yMode val="edge"/>
              <c:x val="0.93106912844516632"/>
              <c:y val="0.52712317406193865"/>
            </c:manualLayout>
          </c:layout>
          <c:overlay val="0"/>
        </c:title>
        <c:numFmt formatCode="#,##0_);[Red]\(#,##0\)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121204736"/>
        <c:crosses val="autoZero"/>
        <c:crossBetween val="midCat"/>
      </c:valAx>
      <c:valAx>
        <c:axId val="121204736"/>
        <c:scaling>
          <c:orientation val="minMax"/>
          <c:max val="25"/>
          <c:min val="-2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/>
        <c:title>
          <c:tx>
            <c:rich>
              <a:bodyPr rot="0" vert="horz"/>
              <a:lstStyle/>
              <a:p>
                <a:pPr algn="l">
                  <a:defRPr sz="1200">
                    <a:latin typeface="Meiryo UI" panose="020B0604030504040204" pitchFamily="50" charset="-128"/>
                    <a:ea typeface="Meiryo UI" panose="020B0604030504040204" pitchFamily="50" charset="-128"/>
                  </a:defRPr>
                </a:pPr>
                <a:r>
                  <a:rPr lang="ja-JP" altLang="en-US" sz="1200">
                    <a:latin typeface="Meiryo UI" panose="020B0604030504040204" pitchFamily="50" charset="-128"/>
                    <a:ea typeface="Meiryo UI" panose="020B0604030504040204" pitchFamily="50" charset="-128"/>
                  </a:rPr>
                  <a:t>利得</a:t>
                </a:r>
                <a:r>
                  <a:rPr lang="en-US" altLang="ja-JP" sz="1200">
                    <a:latin typeface="Meiryo UI" panose="020B0604030504040204" pitchFamily="50" charset="-128"/>
                    <a:ea typeface="Meiryo UI" panose="020B0604030504040204" pitchFamily="50" charset="-128"/>
                  </a:rPr>
                  <a:t>(dB)</a:t>
                </a:r>
                <a:r>
                  <a:rPr lang="ja-JP" altLang="en-US" sz="1200">
                    <a:latin typeface="Meiryo UI" panose="020B0604030504040204" pitchFamily="50" charset="-128"/>
                    <a:ea typeface="Meiryo UI" panose="020B0604030504040204" pitchFamily="50" charset="-128"/>
                  </a:rPr>
                  <a:t>　</a:t>
                </a:r>
                <a:endParaRPr lang="en-US" altLang="ja-JP" sz="1200">
                  <a:latin typeface="Meiryo UI" panose="020B0604030504040204" pitchFamily="50" charset="-128"/>
                  <a:ea typeface="Meiryo UI" panose="020B0604030504040204" pitchFamily="50" charset="-128"/>
                </a:endParaRPr>
              </a:p>
              <a:p>
                <a:pPr algn="l">
                  <a:defRPr sz="1200">
                    <a:latin typeface="Meiryo UI" panose="020B0604030504040204" pitchFamily="50" charset="-128"/>
                    <a:ea typeface="Meiryo UI" panose="020B0604030504040204" pitchFamily="50" charset="-128"/>
                  </a:defRPr>
                </a:pPr>
                <a:r>
                  <a:rPr lang="en-US" altLang="ja-JP" sz="1200">
                    <a:latin typeface="Meiryo UI" panose="020B0604030504040204" pitchFamily="50" charset="-128"/>
                    <a:ea typeface="Meiryo UI" panose="020B0604030504040204" pitchFamily="50" charset="-128"/>
                  </a:rPr>
                  <a:t>Imp</a:t>
                </a:r>
                <a:r>
                  <a:rPr lang="ja-JP" altLang="en-US" sz="1200">
                    <a:latin typeface="Meiryo UI" panose="020B0604030504040204" pitchFamily="50" charset="-128"/>
                    <a:ea typeface="Meiryo UI" panose="020B0604030504040204" pitchFamily="50" charset="-128"/>
                  </a:rPr>
                  <a:t>誤差</a:t>
                </a:r>
                <a:r>
                  <a:rPr lang="en-US" altLang="ja-JP" sz="1200">
                    <a:latin typeface="Meiryo UI" panose="020B0604030504040204" pitchFamily="50" charset="-128"/>
                    <a:ea typeface="Meiryo UI" panose="020B0604030504040204" pitchFamily="50" charset="-128"/>
                  </a:rPr>
                  <a:t>(Ω)</a:t>
                </a:r>
                <a:endParaRPr lang="ja-JP" altLang="en-US" sz="1200">
                  <a:latin typeface="Meiryo UI" panose="020B0604030504040204" pitchFamily="50" charset="-128"/>
                  <a:ea typeface="Meiryo UI" panose="020B0604030504040204" pitchFamily="50" charset="-128"/>
                </a:endParaRPr>
              </a:p>
            </c:rich>
          </c:tx>
          <c:layout>
            <c:manualLayout>
              <c:xMode val="edge"/>
              <c:yMode val="edge"/>
              <c:x val="2.391977946340024E-2"/>
              <c:y val="4.7619311079719333E-2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121182080"/>
        <c:crosses val="autoZero"/>
        <c:crossBetween val="midCat"/>
        <c:majorUnit val="5"/>
        <c:minorUnit val="5"/>
      </c:valAx>
      <c:valAx>
        <c:axId val="121206656"/>
        <c:scaling>
          <c:orientation val="minMax"/>
          <c:max val="1"/>
          <c:min val="-1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 sz="1200">
                    <a:latin typeface="Meiryo UI" panose="020B0604030504040204" pitchFamily="50" charset="-128"/>
                    <a:ea typeface="Meiryo UI" panose="020B0604030504040204" pitchFamily="50" charset="-128"/>
                  </a:defRPr>
                </a:pPr>
                <a:r>
                  <a:rPr lang="ja-JP" altLang="en-US" sz="1200">
                    <a:latin typeface="Meiryo UI" panose="020B0604030504040204" pitchFamily="50" charset="-128"/>
                    <a:ea typeface="Meiryo UI" panose="020B0604030504040204" pitchFamily="50" charset="-128"/>
                  </a:rPr>
                  <a:t>利得誤差</a:t>
                </a:r>
                <a:endParaRPr lang="en-US" altLang="ja-JP" sz="1200">
                  <a:latin typeface="Meiryo UI" panose="020B0604030504040204" pitchFamily="50" charset="-128"/>
                  <a:ea typeface="Meiryo UI" panose="020B0604030504040204" pitchFamily="50" charset="-128"/>
                </a:endParaRPr>
              </a:p>
              <a:p>
                <a:pPr>
                  <a:defRPr sz="1200">
                    <a:latin typeface="Meiryo UI" panose="020B0604030504040204" pitchFamily="50" charset="-128"/>
                    <a:ea typeface="Meiryo UI" panose="020B0604030504040204" pitchFamily="50" charset="-128"/>
                  </a:defRPr>
                </a:pPr>
                <a:r>
                  <a:rPr lang="en-US" altLang="ja-JP" sz="1200">
                    <a:latin typeface="Meiryo UI" panose="020B0604030504040204" pitchFamily="50" charset="-128"/>
                    <a:ea typeface="Meiryo UI" panose="020B0604030504040204" pitchFamily="50" charset="-128"/>
                  </a:rPr>
                  <a:t>(dB)</a:t>
                </a:r>
                <a:endParaRPr lang="ja-JP" altLang="en-US" sz="1200">
                  <a:latin typeface="Meiryo UI" panose="020B0604030504040204" pitchFamily="50" charset="-128"/>
                  <a:ea typeface="Meiryo UI" panose="020B0604030504040204" pitchFamily="50" charset="-128"/>
                </a:endParaRPr>
              </a:p>
            </c:rich>
          </c:tx>
          <c:layout>
            <c:manualLayout>
              <c:xMode val="edge"/>
              <c:yMode val="edge"/>
              <c:x val="0.88674587127184579"/>
              <c:y val="5.9485375551694052E-2"/>
            </c:manualLayout>
          </c:layout>
          <c:overlay val="0"/>
        </c:title>
        <c:numFmt formatCode="#,##0.00_);[Red]\(#,##0.00\)" sourceLinked="0"/>
        <c:majorTickMark val="out"/>
        <c:minorTickMark val="none"/>
        <c:tickLblPos val="nextTo"/>
        <c:txPr>
          <a:bodyPr/>
          <a:lstStyle/>
          <a:p>
            <a:pPr>
              <a:defRPr sz="1400">
                <a:latin typeface="Meiryo UI" panose="020B0604030504040204" pitchFamily="50" charset="-128"/>
                <a:ea typeface="Meiryo UI" panose="020B0604030504040204" pitchFamily="50" charset="-128"/>
              </a:defRPr>
            </a:pPr>
            <a:endParaRPr lang="ja-JP"/>
          </a:p>
        </c:txPr>
        <c:crossAx val="121221120"/>
        <c:crosses val="max"/>
        <c:crossBetween val="midCat"/>
      </c:valAx>
      <c:valAx>
        <c:axId val="121221120"/>
        <c:scaling>
          <c:logBase val="10"/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120665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67930384401214938"/>
          <c:y val="0.16757958094696421"/>
          <c:w val="0.19154723963390688"/>
          <c:h val="0.2263851291678844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r>
              <a:rPr lang="en-US" altLang="ja-JP" sz="2000">
                <a:latin typeface="Meiryo UI" panose="020B0604030504040204" pitchFamily="50" charset="-128"/>
                <a:ea typeface="Meiryo UI" panose="020B0604030504040204" pitchFamily="50" charset="-128"/>
              </a:rPr>
              <a:t>RIAA</a:t>
            </a:r>
            <a:r>
              <a:rPr lang="ja-JP" altLang="en-US" sz="2000">
                <a:latin typeface="Meiryo UI" panose="020B0604030504040204" pitchFamily="50" charset="-128"/>
                <a:ea typeface="Meiryo UI" panose="020B0604030504040204" pitchFamily="50" charset="-128"/>
              </a:rPr>
              <a:t>利得　</a:t>
            </a:r>
            <a:r>
              <a:rPr lang="en-US" altLang="ja-JP" sz="2000">
                <a:latin typeface="Meiryo UI" panose="020B0604030504040204" pitchFamily="50" charset="-128"/>
                <a:ea typeface="Meiryo UI" panose="020B0604030504040204" pitchFamily="50" charset="-128"/>
              </a:rPr>
              <a:t>Imp</a:t>
            </a:r>
            <a:r>
              <a:rPr lang="ja-JP" altLang="en-US" sz="2000">
                <a:latin typeface="Meiryo UI" panose="020B0604030504040204" pitchFamily="50" charset="-128"/>
                <a:ea typeface="Meiryo UI" panose="020B0604030504040204" pitchFamily="50" charset="-128"/>
              </a:rPr>
              <a:t>特性</a:t>
            </a:r>
          </a:p>
        </c:rich>
      </c:tx>
      <c:layout>
        <c:manualLayout>
          <c:xMode val="edge"/>
          <c:yMode val="edge"/>
          <c:x val="0.38905408290388382"/>
          <c:y val="4.2158976687662705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9.3350558514557397E-2"/>
          <c:y val="0.14694082289566129"/>
          <c:w val="0.79978532468793395"/>
          <c:h val="0.73502041705827326"/>
        </c:manualLayout>
      </c:layout>
      <c:scatterChart>
        <c:scatterStyle val="smoothMarker"/>
        <c:varyColors val="0"/>
        <c:ser>
          <c:idx val="1"/>
          <c:order val="0"/>
          <c:tx>
            <c:v>理想再生カーブ(dB)</c:v>
          </c:tx>
          <c:spPr>
            <a:ln w="28575" cap="rnd">
              <a:solidFill>
                <a:srgbClr val="FF9933"/>
              </a:solidFill>
              <a:round/>
            </a:ln>
            <a:effectLst/>
          </c:spPr>
          <c:marker>
            <c:symbol val="none"/>
          </c:marker>
          <c:xVal>
            <c:numRef>
              <c:f>'RIAA 追込み特性1.72'!$HQ$26:$HQ$86</c:f>
              <c:numCache>
                <c:formatCode>General</c:formatCode>
                <c:ptCount val="61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15</c:v>
                </c:pt>
                <c:pt idx="5">
                  <c:v>17</c:v>
                </c:pt>
                <c:pt idx="6">
                  <c:v>20</c:v>
                </c:pt>
                <c:pt idx="7">
                  <c:v>25</c:v>
                </c:pt>
                <c:pt idx="8">
                  <c:v>30</c:v>
                </c:pt>
                <c:pt idx="9">
                  <c:v>40</c:v>
                </c:pt>
                <c:pt idx="10">
                  <c:v>50</c:v>
                </c:pt>
                <c:pt idx="11">
                  <c:v>60</c:v>
                </c:pt>
                <c:pt idx="12">
                  <c:v>70</c:v>
                </c:pt>
                <c:pt idx="13">
                  <c:v>80</c:v>
                </c:pt>
                <c:pt idx="14">
                  <c:v>90</c:v>
                </c:pt>
                <c:pt idx="15">
                  <c:v>100</c:v>
                </c:pt>
                <c:pt idx="16">
                  <c:v>110</c:v>
                </c:pt>
                <c:pt idx="17">
                  <c:v>120</c:v>
                </c:pt>
                <c:pt idx="18">
                  <c:v>130</c:v>
                </c:pt>
                <c:pt idx="19">
                  <c:v>150</c:v>
                </c:pt>
                <c:pt idx="20">
                  <c:v>170</c:v>
                </c:pt>
                <c:pt idx="21">
                  <c:v>200</c:v>
                </c:pt>
                <c:pt idx="22">
                  <c:v>250</c:v>
                </c:pt>
                <c:pt idx="23">
                  <c:v>300</c:v>
                </c:pt>
                <c:pt idx="24">
                  <c:v>400</c:v>
                </c:pt>
                <c:pt idx="25">
                  <c:v>500</c:v>
                </c:pt>
                <c:pt idx="26">
                  <c:v>600</c:v>
                </c:pt>
                <c:pt idx="27">
                  <c:v>700</c:v>
                </c:pt>
                <c:pt idx="28">
                  <c:v>800</c:v>
                </c:pt>
                <c:pt idx="29">
                  <c:v>900</c:v>
                </c:pt>
                <c:pt idx="30">
                  <c:v>1000</c:v>
                </c:pt>
                <c:pt idx="31">
                  <c:v>1100</c:v>
                </c:pt>
                <c:pt idx="32">
                  <c:v>1200</c:v>
                </c:pt>
                <c:pt idx="33">
                  <c:v>1300</c:v>
                </c:pt>
                <c:pt idx="34">
                  <c:v>1500</c:v>
                </c:pt>
                <c:pt idx="35">
                  <c:v>1700</c:v>
                </c:pt>
                <c:pt idx="36">
                  <c:v>2000</c:v>
                </c:pt>
                <c:pt idx="37">
                  <c:v>2500</c:v>
                </c:pt>
                <c:pt idx="38">
                  <c:v>3000</c:v>
                </c:pt>
                <c:pt idx="39">
                  <c:v>4000</c:v>
                </c:pt>
                <c:pt idx="40">
                  <c:v>5000</c:v>
                </c:pt>
                <c:pt idx="41">
                  <c:v>6000</c:v>
                </c:pt>
                <c:pt idx="42">
                  <c:v>7000</c:v>
                </c:pt>
                <c:pt idx="43">
                  <c:v>8000</c:v>
                </c:pt>
                <c:pt idx="44">
                  <c:v>9000</c:v>
                </c:pt>
                <c:pt idx="45">
                  <c:v>10000</c:v>
                </c:pt>
                <c:pt idx="46">
                  <c:v>11000</c:v>
                </c:pt>
                <c:pt idx="47">
                  <c:v>12000</c:v>
                </c:pt>
                <c:pt idx="48">
                  <c:v>13000</c:v>
                </c:pt>
                <c:pt idx="49">
                  <c:v>15000</c:v>
                </c:pt>
                <c:pt idx="50">
                  <c:v>17000</c:v>
                </c:pt>
                <c:pt idx="51">
                  <c:v>20000</c:v>
                </c:pt>
                <c:pt idx="52">
                  <c:v>25000</c:v>
                </c:pt>
                <c:pt idx="53">
                  <c:v>30000</c:v>
                </c:pt>
                <c:pt idx="54">
                  <c:v>40000</c:v>
                </c:pt>
                <c:pt idx="55">
                  <c:v>50000</c:v>
                </c:pt>
                <c:pt idx="56">
                  <c:v>60000</c:v>
                </c:pt>
                <c:pt idx="57">
                  <c:v>70000</c:v>
                </c:pt>
                <c:pt idx="58">
                  <c:v>80000</c:v>
                </c:pt>
                <c:pt idx="59">
                  <c:v>90000</c:v>
                </c:pt>
                <c:pt idx="60">
                  <c:v>100000</c:v>
                </c:pt>
              </c:numCache>
            </c:numRef>
          </c:xVal>
          <c:yVal>
            <c:numRef>
              <c:f>'RIAA 追込み特性1.72'!$HW$26:$HW$86</c:f>
              <c:numCache>
                <c:formatCode>General</c:formatCode>
                <c:ptCount val="61"/>
                <c:pt idx="0">
                  <c:v>19.743954630169235</c:v>
                </c:pt>
                <c:pt idx="1">
                  <c:v>19.709364349912601</c:v>
                </c:pt>
                <c:pt idx="2">
                  <c:v>19.671799423042266</c:v>
                </c:pt>
                <c:pt idx="3">
                  <c:v>19.631340468690521</c:v>
                </c:pt>
                <c:pt idx="4">
                  <c:v>19.542084321362207</c:v>
                </c:pt>
                <c:pt idx="5">
                  <c:v>19.442318787913806</c:v>
                </c:pt>
                <c:pt idx="6">
                  <c:v>19.274651659279098</c:v>
                </c:pt>
                <c:pt idx="7">
                  <c:v>18.953831608169743</c:v>
                </c:pt>
                <c:pt idx="8">
                  <c:v>18.592057357942604</c:v>
                </c:pt>
                <c:pt idx="9">
                  <c:v>17.790465927170651</c:v>
                </c:pt>
                <c:pt idx="10">
                  <c:v>16.943272977823323</c:v>
                </c:pt>
                <c:pt idx="11">
                  <c:v>16.097516359155676</c:v>
                </c:pt>
                <c:pt idx="12">
                  <c:v>15.27946887672465</c:v>
                </c:pt>
                <c:pt idx="13">
                  <c:v>14.501936855862654</c:v>
                </c:pt>
                <c:pt idx="14">
                  <c:v>13.769851647526906</c:v>
                </c:pt>
                <c:pt idx="15">
                  <c:v>13.083842641777039</c:v>
                </c:pt>
                <c:pt idx="16">
                  <c:v>12.442336300037038</c:v>
                </c:pt>
                <c:pt idx="17">
                  <c:v>11.842734498593474</c:v>
                </c:pt>
                <c:pt idx="18">
                  <c:v>11.282055526849517</c:v>
                </c:pt>
                <c:pt idx="19">
                  <c:v>10.26547742890315</c:v>
                </c:pt>
                <c:pt idx="20">
                  <c:v>9.3702636626110767</c:v>
                </c:pt>
                <c:pt idx="21">
                  <c:v>8.2145382310423969</c:v>
                </c:pt>
                <c:pt idx="22">
                  <c:v>6.6723476202462617</c:v>
                </c:pt>
                <c:pt idx="23">
                  <c:v>5.4802583914792891</c:v>
                </c:pt>
                <c:pt idx="24">
                  <c:v>3.7804733603538239</c:v>
                </c:pt>
                <c:pt idx="25">
                  <c:v>2.6452054340685898</c:v>
                </c:pt>
                <c:pt idx="26">
                  <c:v>1.8389527738227933</c:v>
                </c:pt>
                <c:pt idx="27">
                  <c:v>1.2324012912674007</c:v>
                </c:pt>
                <c:pt idx="28">
                  <c:v>0.75075471810763261</c:v>
                </c:pt>
                <c:pt idx="29">
                  <c:v>0.34917050156254348</c:v>
                </c:pt>
                <c:pt idx="30">
                  <c:v>0</c:v>
                </c:pt>
                <c:pt idx="31">
                  <c:v>-0.31419523957595175</c:v>
                </c:pt>
                <c:pt idx="32">
                  <c:v>-0.60461394058424034</c:v>
                </c:pt>
                <c:pt idx="33">
                  <c:v>-0.8785459844945116</c:v>
                </c:pt>
                <c:pt idx="34">
                  <c:v>-1.3944792850477903</c:v>
                </c:pt>
                <c:pt idx="35">
                  <c:v>-1.883904453521378</c:v>
                </c:pt>
                <c:pt idx="36">
                  <c:v>-2.5873990829306415</c:v>
                </c:pt>
                <c:pt idx="37">
                  <c:v>-3.6989410184794274</c:v>
                </c:pt>
                <c:pt idx="38">
                  <c:v>-4.7387473581096629</c:v>
                </c:pt>
                <c:pt idx="39">
                  <c:v>-6.6037346617791357</c:v>
                </c:pt>
                <c:pt idx="40">
                  <c:v>-8.2080890524048513</c:v>
                </c:pt>
                <c:pt idx="41">
                  <c:v>-9.597319383299709</c:v>
                </c:pt>
                <c:pt idx="42">
                  <c:v>-10.814098570827408</c:v>
                </c:pt>
                <c:pt idx="43">
                  <c:v>-11.892528584776397</c:v>
                </c:pt>
                <c:pt idx="44">
                  <c:v>-12.858756823406868</c:v>
                </c:pt>
                <c:pt idx="45">
                  <c:v>-13.732743746765276</c:v>
                </c:pt>
                <c:pt idx="46">
                  <c:v>-14.529857415902658</c:v>
                </c:pt>
                <c:pt idx="47">
                  <c:v>-15.26208396643435</c:v>
                </c:pt>
                <c:pt idx="48">
                  <c:v>-15.938903374249254</c:v>
                </c:pt>
                <c:pt idx="49">
                  <c:v>-17.155297178949954</c:v>
                </c:pt>
                <c:pt idx="50">
                  <c:v>-18.224595227587624</c:v>
                </c:pt>
                <c:pt idx="51">
                  <c:v>-19.618717979857518</c:v>
                </c:pt>
                <c:pt idx="52">
                  <c:v>-21.540444874513998</c:v>
                </c:pt>
                <c:pt idx="53">
                  <c:v>-23.115091955140802</c:v>
                </c:pt>
                <c:pt idx="54">
                  <c:v>-25.604919258782349</c:v>
                </c:pt>
                <c:pt idx="55">
                  <c:v>-27.538971158937233</c:v>
                </c:pt>
                <c:pt idx="56">
                  <c:v>-29.120340794074206</c:v>
                </c:pt>
                <c:pt idx="57">
                  <c:v>-30.457916088326105</c:v>
                </c:pt>
                <c:pt idx="58">
                  <c:v>-31.616871757430598</c:v>
                </c:pt>
                <c:pt idx="59">
                  <c:v>-32.639316523169796</c:v>
                </c:pt>
                <c:pt idx="60">
                  <c:v>-33.554033034891759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628F-411D-A7BA-50C39095E461}"/>
            </c:ext>
          </c:extLst>
        </c:ser>
        <c:ser>
          <c:idx val="2"/>
          <c:order val="1"/>
          <c:tx>
            <c:v>再生カーブ計算値(dB)</c:v>
          </c:tx>
          <c:spPr>
            <a:ln w="28575" cap="rnd">
              <a:solidFill>
                <a:srgbClr val="00CC99"/>
              </a:solidFill>
              <a:round/>
            </a:ln>
            <a:effectLst/>
          </c:spPr>
          <c:marker>
            <c:symbol val="none"/>
          </c:marker>
          <c:xVal>
            <c:numRef>
              <c:f>'RIAA 追込み特性1.72'!$HQ$26:$HQ$86</c:f>
              <c:numCache>
                <c:formatCode>General</c:formatCode>
                <c:ptCount val="61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15</c:v>
                </c:pt>
                <c:pt idx="5">
                  <c:v>17</c:v>
                </c:pt>
                <c:pt idx="6">
                  <c:v>20</c:v>
                </c:pt>
                <c:pt idx="7">
                  <c:v>25</c:v>
                </c:pt>
                <c:pt idx="8">
                  <c:v>30</c:v>
                </c:pt>
                <c:pt idx="9">
                  <c:v>40</c:v>
                </c:pt>
                <c:pt idx="10">
                  <c:v>50</c:v>
                </c:pt>
                <c:pt idx="11">
                  <c:v>60</c:v>
                </c:pt>
                <c:pt idx="12">
                  <c:v>70</c:v>
                </c:pt>
                <c:pt idx="13">
                  <c:v>80</c:v>
                </c:pt>
                <c:pt idx="14">
                  <c:v>90</c:v>
                </c:pt>
                <c:pt idx="15">
                  <c:v>100</c:v>
                </c:pt>
                <c:pt idx="16">
                  <c:v>110</c:v>
                </c:pt>
                <c:pt idx="17">
                  <c:v>120</c:v>
                </c:pt>
                <c:pt idx="18">
                  <c:v>130</c:v>
                </c:pt>
                <c:pt idx="19">
                  <c:v>150</c:v>
                </c:pt>
                <c:pt idx="20">
                  <c:v>170</c:v>
                </c:pt>
                <c:pt idx="21">
                  <c:v>200</c:v>
                </c:pt>
                <c:pt idx="22">
                  <c:v>250</c:v>
                </c:pt>
                <c:pt idx="23">
                  <c:v>300</c:v>
                </c:pt>
                <c:pt idx="24">
                  <c:v>400</c:v>
                </c:pt>
                <c:pt idx="25">
                  <c:v>500</c:v>
                </c:pt>
                <c:pt idx="26">
                  <c:v>600</c:v>
                </c:pt>
                <c:pt idx="27">
                  <c:v>700</c:v>
                </c:pt>
                <c:pt idx="28">
                  <c:v>800</c:v>
                </c:pt>
                <c:pt idx="29">
                  <c:v>900</c:v>
                </c:pt>
                <c:pt idx="30">
                  <c:v>1000</c:v>
                </c:pt>
                <c:pt idx="31">
                  <c:v>1100</c:v>
                </c:pt>
                <c:pt idx="32">
                  <c:v>1200</c:v>
                </c:pt>
                <c:pt idx="33">
                  <c:v>1300</c:v>
                </c:pt>
                <c:pt idx="34">
                  <c:v>1500</c:v>
                </c:pt>
                <c:pt idx="35">
                  <c:v>1700</c:v>
                </c:pt>
                <c:pt idx="36">
                  <c:v>2000</c:v>
                </c:pt>
                <c:pt idx="37">
                  <c:v>2500</c:v>
                </c:pt>
                <c:pt idx="38">
                  <c:v>3000</c:v>
                </c:pt>
                <c:pt idx="39">
                  <c:v>4000</c:v>
                </c:pt>
                <c:pt idx="40">
                  <c:v>5000</c:v>
                </c:pt>
                <c:pt idx="41">
                  <c:v>6000</c:v>
                </c:pt>
                <c:pt idx="42">
                  <c:v>7000</c:v>
                </c:pt>
                <c:pt idx="43">
                  <c:v>8000</c:v>
                </c:pt>
                <c:pt idx="44">
                  <c:v>9000</c:v>
                </c:pt>
                <c:pt idx="45">
                  <c:v>10000</c:v>
                </c:pt>
                <c:pt idx="46">
                  <c:v>11000</c:v>
                </c:pt>
                <c:pt idx="47">
                  <c:v>12000</c:v>
                </c:pt>
                <c:pt idx="48">
                  <c:v>13000</c:v>
                </c:pt>
                <c:pt idx="49">
                  <c:v>15000</c:v>
                </c:pt>
                <c:pt idx="50">
                  <c:v>17000</c:v>
                </c:pt>
                <c:pt idx="51">
                  <c:v>20000</c:v>
                </c:pt>
                <c:pt idx="52">
                  <c:v>25000</c:v>
                </c:pt>
                <c:pt idx="53">
                  <c:v>30000</c:v>
                </c:pt>
                <c:pt idx="54">
                  <c:v>40000</c:v>
                </c:pt>
                <c:pt idx="55">
                  <c:v>50000</c:v>
                </c:pt>
                <c:pt idx="56">
                  <c:v>60000</c:v>
                </c:pt>
                <c:pt idx="57">
                  <c:v>70000</c:v>
                </c:pt>
                <c:pt idx="58">
                  <c:v>80000</c:v>
                </c:pt>
                <c:pt idx="59">
                  <c:v>90000</c:v>
                </c:pt>
                <c:pt idx="60">
                  <c:v>100000</c:v>
                </c:pt>
              </c:numCache>
            </c:numRef>
          </c:xVal>
          <c:yVal>
            <c:numRef>
              <c:f>'RIAA 追込み特性1.72'!$HV$26:$HV$86</c:f>
              <c:numCache>
                <c:formatCode>General</c:formatCode>
                <c:ptCount val="61"/>
                <c:pt idx="0">
                  <c:v>19.534345864611058</c:v>
                </c:pt>
                <c:pt idx="1">
                  <c:v>19.500258827706311</c:v>
                </c:pt>
                <c:pt idx="2">
                  <c:v>19.463259464810218</c:v>
                </c:pt>
                <c:pt idx="3">
                  <c:v>19.423431223316317</c:v>
                </c:pt>
                <c:pt idx="4">
                  <c:v>19.335642430386354</c:v>
                </c:pt>
                <c:pt idx="5">
                  <c:v>19.237633818559356</c:v>
                </c:pt>
                <c:pt idx="6">
                  <c:v>19.073172837473759</c:v>
                </c:pt>
                <c:pt idx="7">
                  <c:v>18.759244898615783</c:v>
                </c:pt>
                <c:pt idx="8">
                  <c:v>18.406176714760136</c:v>
                </c:pt>
                <c:pt idx="9">
                  <c:v>17.626020679704958</c:v>
                </c:pt>
                <c:pt idx="10">
                  <c:v>16.802640393485024</c:v>
                </c:pt>
                <c:pt idx="11">
                  <c:v>15.98010739896289</c:v>
                </c:pt>
                <c:pt idx="12">
                  <c:v>15.183034055253001</c:v>
                </c:pt>
                <c:pt idx="13">
                  <c:v>14.423631946242502</c:v>
                </c:pt>
                <c:pt idx="14">
                  <c:v>13.706847363264368</c:v>
                </c:pt>
                <c:pt idx="15">
                  <c:v>13.033596052453351</c:v>
                </c:pt>
                <c:pt idx="16">
                  <c:v>12.402672743388925</c:v>
                </c:pt>
                <c:pt idx="17">
                  <c:v>11.811840167517413</c:v>
                </c:pt>
                <c:pt idx="18">
                  <c:v>11.258435284344987</c:v>
                </c:pt>
                <c:pt idx="19">
                  <c:v>10.252943578803157</c:v>
                </c:pt>
                <c:pt idx="20">
                  <c:v>9.3654655115988579</c:v>
                </c:pt>
                <c:pt idx="21">
                  <c:v>8.2172613094251385</c:v>
                </c:pt>
                <c:pt idx="22">
                  <c:v>6.681352436045815</c:v>
                </c:pt>
                <c:pt idx="23">
                  <c:v>5.491532591537668</c:v>
                </c:pt>
                <c:pt idx="24">
                  <c:v>3.7914598041745506</c:v>
                </c:pt>
                <c:pt idx="25">
                  <c:v>2.653873518423655</c:v>
                </c:pt>
                <c:pt idx="26">
                  <c:v>1.8451170786134234</c:v>
                </c:pt>
                <c:pt idx="27">
                  <c:v>1.2364014634209823</c:v>
                </c:pt>
                <c:pt idx="28">
                  <c:v>0.75303345177263736</c:v>
                </c:pt>
                <c:pt idx="29">
                  <c:v>0.35013834749660333</c:v>
                </c:pt>
                <c:pt idx="30">
                  <c:v>0</c:v>
                </c:pt>
                <c:pt idx="31">
                  <c:v>-0.31488867628176465</c:v>
                </c:pt>
                <c:pt idx="32">
                  <c:v>-0.60578582105514656</c:v>
                </c:pt>
                <c:pt idx="33">
                  <c:v>-0.88002973183591493</c:v>
                </c:pt>
                <c:pt idx="34">
                  <c:v>-1.3962325263445976</c:v>
                </c:pt>
                <c:pt idx="35">
                  <c:v>-1.8856244578969594</c:v>
                </c:pt>
                <c:pt idx="36">
                  <c:v>-2.5887775848662287</c:v>
                </c:pt>
                <c:pt idx="37">
                  <c:v>-3.6994908299897773</c:v>
                </c:pt>
                <c:pt idx="38">
                  <c:v>-4.7384852105138791</c:v>
                </c:pt>
                <c:pt idx="39">
                  <c:v>-6.6022396328032187</c:v>
                </c:pt>
                <c:pt idx="40">
                  <c:v>-8.2058124898690821</c:v>
                </c:pt>
                <c:pt idx="41">
                  <c:v>-9.5945434422261222</c:v>
                </c:pt>
                <c:pt idx="42">
                  <c:v>-10.810991599712555</c:v>
                </c:pt>
                <c:pt idx="43">
                  <c:v>-11.889193473506428</c:v>
                </c:pt>
                <c:pt idx="44">
                  <c:v>-12.8552588557082</c:v>
                </c:pt>
                <c:pt idx="45">
                  <c:v>-13.729125927995575</c:v>
                </c:pt>
                <c:pt idx="46">
                  <c:v>-14.526149058851871</c:v>
                </c:pt>
                <c:pt idx="47">
                  <c:v>-15.25830566218572</c:v>
                </c:pt>
                <c:pt idx="48">
                  <c:v>-15.935069974067417</c:v>
                </c:pt>
                <c:pt idx="49">
                  <c:v>-17.151383767589337</c:v>
                </c:pt>
                <c:pt idx="50">
                  <c:v>-18.220627659516836</c:v>
                </c:pt>
                <c:pt idx="51">
                  <c:v>-19.614697041031036</c:v>
                </c:pt>
                <c:pt idx="52">
                  <c:v>-21.536373424459306</c:v>
                </c:pt>
                <c:pt idx="53">
                  <c:v>-23.110992867303381</c:v>
                </c:pt>
                <c:pt idx="54">
                  <c:v>-25.600792549707243</c:v>
                </c:pt>
                <c:pt idx="55">
                  <c:v>-27.534831617492394</c:v>
                </c:pt>
                <c:pt idx="56">
                  <c:v>-29.116194269264625</c:v>
                </c:pt>
                <c:pt idx="57">
                  <c:v>-30.453765348440598</c:v>
                </c:pt>
                <c:pt idx="58">
                  <c:v>-31.612718280054636</c:v>
                </c:pt>
                <c:pt idx="59">
                  <c:v>-32.63516116818559</c:v>
                </c:pt>
                <c:pt idx="60">
                  <c:v>-33.549876336469069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628F-411D-A7BA-50C39095E461}"/>
            </c:ext>
          </c:extLst>
        </c:ser>
        <c:ser>
          <c:idx val="0"/>
          <c:order val="3"/>
          <c:tx>
            <c:strRef>
              <c:f>'RIAA 追込み特性1.72'!$HX$25</c:f>
              <c:strCache>
                <c:ptCount val="1"/>
                <c:pt idx="0">
                  <c:v>Imp誤差(対基準)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'RIAA 追込み特性1.72'!$FT$26:$FT$86</c:f>
              <c:numCache>
                <c:formatCode>General</c:formatCode>
                <c:ptCount val="61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15</c:v>
                </c:pt>
                <c:pt idx="5">
                  <c:v>17</c:v>
                </c:pt>
                <c:pt idx="6">
                  <c:v>20</c:v>
                </c:pt>
                <c:pt idx="7">
                  <c:v>25</c:v>
                </c:pt>
                <c:pt idx="8">
                  <c:v>30</c:v>
                </c:pt>
                <c:pt idx="9">
                  <c:v>40</c:v>
                </c:pt>
                <c:pt idx="10">
                  <c:v>50</c:v>
                </c:pt>
                <c:pt idx="11">
                  <c:v>60</c:v>
                </c:pt>
                <c:pt idx="12">
                  <c:v>70</c:v>
                </c:pt>
                <c:pt idx="13">
                  <c:v>80</c:v>
                </c:pt>
                <c:pt idx="14">
                  <c:v>90</c:v>
                </c:pt>
                <c:pt idx="15">
                  <c:v>100</c:v>
                </c:pt>
                <c:pt idx="16">
                  <c:v>110</c:v>
                </c:pt>
                <c:pt idx="17">
                  <c:v>120</c:v>
                </c:pt>
                <c:pt idx="18">
                  <c:v>130</c:v>
                </c:pt>
                <c:pt idx="19">
                  <c:v>150</c:v>
                </c:pt>
                <c:pt idx="20">
                  <c:v>170</c:v>
                </c:pt>
                <c:pt idx="21">
                  <c:v>200</c:v>
                </c:pt>
                <c:pt idx="22">
                  <c:v>250</c:v>
                </c:pt>
                <c:pt idx="23">
                  <c:v>300</c:v>
                </c:pt>
                <c:pt idx="24">
                  <c:v>400</c:v>
                </c:pt>
                <c:pt idx="25">
                  <c:v>500</c:v>
                </c:pt>
                <c:pt idx="26">
                  <c:v>600</c:v>
                </c:pt>
                <c:pt idx="27">
                  <c:v>700</c:v>
                </c:pt>
                <c:pt idx="28">
                  <c:v>800</c:v>
                </c:pt>
                <c:pt idx="29">
                  <c:v>900</c:v>
                </c:pt>
                <c:pt idx="30">
                  <c:v>1000</c:v>
                </c:pt>
                <c:pt idx="31">
                  <c:v>1100</c:v>
                </c:pt>
                <c:pt idx="32">
                  <c:v>1200</c:v>
                </c:pt>
                <c:pt idx="33">
                  <c:v>1300</c:v>
                </c:pt>
                <c:pt idx="34">
                  <c:v>1500</c:v>
                </c:pt>
                <c:pt idx="35">
                  <c:v>1700</c:v>
                </c:pt>
                <c:pt idx="36">
                  <c:v>2000</c:v>
                </c:pt>
                <c:pt idx="37">
                  <c:v>2500</c:v>
                </c:pt>
                <c:pt idx="38">
                  <c:v>3000</c:v>
                </c:pt>
                <c:pt idx="39">
                  <c:v>4000</c:v>
                </c:pt>
                <c:pt idx="40">
                  <c:v>5000</c:v>
                </c:pt>
                <c:pt idx="41">
                  <c:v>6000</c:v>
                </c:pt>
                <c:pt idx="42">
                  <c:v>7000</c:v>
                </c:pt>
                <c:pt idx="43">
                  <c:v>8000</c:v>
                </c:pt>
                <c:pt idx="44">
                  <c:v>9000</c:v>
                </c:pt>
                <c:pt idx="45">
                  <c:v>10000</c:v>
                </c:pt>
                <c:pt idx="46">
                  <c:v>11000</c:v>
                </c:pt>
                <c:pt idx="47">
                  <c:v>12000</c:v>
                </c:pt>
                <c:pt idx="48">
                  <c:v>13000</c:v>
                </c:pt>
                <c:pt idx="49">
                  <c:v>15000</c:v>
                </c:pt>
                <c:pt idx="50">
                  <c:v>17000</c:v>
                </c:pt>
                <c:pt idx="51">
                  <c:v>20000</c:v>
                </c:pt>
                <c:pt idx="52">
                  <c:v>25000</c:v>
                </c:pt>
                <c:pt idx="53">
                  <c:v>30000</c:v>
                </c:pt>
                <c:pt idx="54">
                  <c:v>40000</c:v>
                </c:pt>
                <c:pt idx="55">
                  <c:v>50000</c:v>
                </c:pt>
                <c:pt idx="56">
                  <c:v>60000</c:v>
                </c:pt>
                <c:pt idx="57">
                  <c:v>70000</c:v>
                </c:pt>
                <c:pt idx="58">
                  <c:v>80000</c:v>
                </c:pt>
                <c:pt idx="59">
                  <c:v>90000</c:v>
                </c:pt>
                <c:pt idx="60">
                  <c:v>100000</c:v>
                </c:pt>
              </c:numCache>
            </c:numRef>
          </c:xVal>
          <c:yVal>
            <c:numRef>
              <c:f>'RIAA 追込み特性1.72'!$HX$26:$HX$86</c:f>
              <c:numCache>
                <c:formatCode>0.0000_ </c:formatCode>
                <c:ptCount val="61"/>
                <c:pt idx="0">
                  <c:v>-11.50149348446223</c:v>
                </c:pt>
                <c:pt idx="1">
                  <c:v>-11.232989908697164</c:v>
                </c:pt>
                <c:pt idx="2">
                  <c:v>-10.94642120635001</c:v>
                </c:pt>
                <c:pt idx="3">
                  <c:v>-10.643541941512012</c:v>
                </c:pt>
                <c:pt idx="4">
                  <c:v>-9.9960533151732989</c:v>
                </c:pt>
                <c:pt idx="5">
                  <c:v>-9.3050197105807229</c:v>
                </c:pt>
                <c:pt idx="6">
                  <c:v>-8.2177845457638341</c:v>
                </c:pt>
                <c:pt idx="7">
                  <c:v>-6.3767523248963016</c:v>
                </c:pt>
                <c:pt idx="8">
                  <c:v>-4.6361663282858672</c:v>
                </c:pt>
                <c:pt idx="9">
                  <c:v>-1.807456295236193</c:v>
                </c:pt>
                <c:pt idx="10">
                  <c:v>3.6103773627132796E-2</c:v>
                </c:pt>
                <c:pt idx="11">
                  <c:v>1.0830414981689955</c:v>
                </c:pt>
                <c:pt idx="12">
                  <c:v>1.6009002680308413</c:v>
                </c:pt>
                <c:pt idx="13">
                  <c:v>1.8026209874785764</c:v>
                </c:pt>
                <c:pt idx="14">
                  <c:v>1.8283085437278714</c:v>
                </c:pt>
                <c:pt idx="15">
                  <c:v>1.7623040172878746</c:v>
                </c:pt>
                <c:pt idx="16">
                  <c:v>1.6529576502827013</c:v>
                </c:pt>
                <c:pt idx="17">
                  <c:v>1.5270632655215195</c:v>
                </c:pt>
                <c:pt idx="18">
                  <c:v>1.3989708534637657</c:v>
                </c:pt>
                <c:pt idx="19">
                  <c:v>1.1615276235913825</c:v>
                </c:pt>
                <c:pt idx="20">
                  <c:v>0.96199456754141011</c:v>
                </c:pt>
                <c:pt idx="21">
                  <c:v>0.73094107318934221</c:v>
                </c:pt>
                <c:pt idx="22">
                  <c:v>0.47750475522548186</c:v>
                </c:pt>
                <c:pt idx="23">
                  <c:v>0.32323995141916839</c:v>
                </c:pt>
                <c:pt idx="24">
                  <c:v>0.15710537876645958</c:v>
                </c:pt>
                <c:pt idx="25">
                  <c:v>7.5442687690383536E-2</c:v>
                </c:pt>
                <c:pt idx="26">
                  <c:v>2.9551784992236207E-2</c:v>
                </c:pt>
                <c:pt idx="27">
                  <c:v>1.1749178787567871E-3</c:v>
                </c:pt>
                <c:pt idx="28">
                  <c:v>-1.7664892088305351E-2</c:v>
                </c:pt>
                <c:pt idx="29">
                  <c:v>-3.0874471042920959E-2</c:v>
                </c:pt>
                <c:pt idx="30">
                  <c:v>-4.0541102429415332E-2</c:v>
                </c:pt>
                <c:pt idx="31">
                  <c:v>-4.785887342791284E-2</c:v>
                </c:pt>
                <c:pt idx="32">
                  <c:v>-5.3549939491631449E-2</c:v>
                </c:pt>
                <c:pt idx="33">
                  <c:v>-5.8071912514265023E-2</c:v>
                </c:pt>
                <c:pt idx="34">
                  <c:v>-6.4720784600581283E-2</c:v>
                </c:pt>
                <c:pt idx="35">
                  <c:v>-6.926991882164657E-2</c:v>
                </c:pt>
                <c:pt idx="36">
                  <c:v>-7.3727484627738704E-2</c:v>
                </c:pt>
                <c:pt idx="37">
                  <c:v>-7.7702016449279654E-2</c:v>
                </c:pt>
                <c:pt idx="38">
                  <c:v>-7.9541488484551337E-2</c:v>
                </c:pt>
                <c:pt idx="39">
                  <c:v>-8.0768008506879596E-2</c:v>
                </c:pt>
                <c:pt idx="40">
                  <c:v>-8.094084883555297E-2</c:v>
                </c:pt>
                <c:pt idx="41">
                  <c:v>-8.0865977834605474E-2</c:v>
                </c:pt>
                <c:pt idx="42">
                  <c:v>-8.0746362118588877E-2</c:v>
                </c:pt>
                <c:pt idx="43">
                  <c:v>-8.0633650461209072E-2</c:v>
                </c:pt>
                <c:pt idx="44">
                  <c:v>-8.0538711250369488E-2</c:v>
                </c:pt>
                <c:pt idx="45">
                  <c:v>-8.0461349464030718E-2</c:v>
                </c:pt>
                <c:pt idx="46">
                  <c:v>-8.0398776772540259E-2</c:v>
                </c:pt>
                <c:pt idx="47">
                  <c:v>-8.0348033791324269E-2</c:v>
                </c:pt>
                <c:pt idx="48">
                  <c:v>-8.0306606253202517E-2</c:v>
                </c:pt>
                <c:pt idx="49">
                  <c:v>-8.024417824651664E-2</c:v>
                </c:pt>
                <c:pt idx="50">
                  <c:v>-8.0200412898193463E-2</c:v>
                </c:pt>
                <c:pt idx="51">
                  <c:v>-8.0156100111480555E-2</c:v>
                </c:pt>
                <c:pt idx="52">
                  <c:v>-8.0113087803852068E-2</c:v>
                </c:pt>
                <c:pt idx="53">
                  <c:v>-8.0089113695294145E-2</c:v>
                </c:pt>
                <c:pt idx="54">
                  <c:v>-8.0064844805519897E-2</c:v>
                </c:pt>
                <c:pt idx="55">
                  <c:v>-8.0053465047171812E-2</c:v>
                </c:pt>
                <c:pt idx="56">
                  <c:v>-8.0047244302818399E-2</c:v>
                </c:pt>
                <c:pt idx="57">
                  <c:v>-8.0043480031804393E-2</c:v>
                </c:pt>
                <c:pt idx="58">
                  <c:v>-8.0041031487780856E-2</c:v>
                </c:pt>
                <c:pt idx="59">
                  <c:v>-8.0039350321271741E-2</c:v>
                </c:pt>
                <c:pt idx="60">
                  <c:v>-8.0038146567517288E-2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628F-411D-A7BA-50C39095E461}"/>
            </c:ext>
          </c:extLst>
        </c:ser>
        <c:ser>
          <c:idx val="4"/>
          <c:order val="4"/>
          <c:tx>
            <c:strRef>
              <c:f>'RIAA 追込み特性1.72'!$HY$25</c:f>
              <c:strCache>
                <c:ptCount val="1"/>
                <c:pt idx="0">
                  <c:v>Ec2修正値</c:v>
                </c:pt>
              </c:strCache>
            </c:strRef>
          </c:tx>
          <c:spPr>
            <a:ln>
              <a:solidFill>
                <a:srgbClr val="FF66FF"/>
              </a:solidFill>
            </a:ln>
          </c:spPr>
          <c:marker>
            <c:symbol val="none"/>
          </c:marker>
          <c:xVal>
            <c:numRef>
              <c:f>'RIAA 追込み特性1.72'!$HQ$26:$HQ$86</c:f>
              <c:numCache>
                <c:formatCode>General</c:formatCode>
                <c:ptCount val="61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15</c:v>
                </c:pt>
                <c:pt idx="5">
                  <c:v>17</c:v>
                </c:pt>
                <c:pt idx="6">
                  <c:v>20</c:v>
                </c:pt>
                <c:pt idx="7">
                  <c:v>25</c:v>
                </c:pt>
                <c:pt idx="8">
                  <c:v>30</c:v>
                </c:pt>
                <c:pt idx="9">
                  <c:v>40</c:v>
                </c:pt>
                <c:pt idx="10">
                  <c:v>50</c:v>
                </c:pt>
                <c:pt idx="11">
                  <c:v>60</c:v>
                </c:pt>
                <c:pt idx="12">
                  <c:v>70</c:v>
                </c:pt>
                <c:pt idx="13">
                  <c:v>80</c:v>
                </c:pt>
                <c:pt idx="14">
                  <c:v>90</c:v>
                </c:pt>
                <c:pt idx="15">
                  <c:v>100</c:v>
                </c:pt>
                <c:pt idx="16">
                  <c:v>110</c:v>
                </c:pt>
                <c:pt idx="17">
                  <c:v>120</c:v>
                </c:pt>
                <c:pt idx="18">
                  <c:v>130</c:v>
                </c:pt>
                <c:pt idx="19">
                  <c:v>150</c:v>
                </c:pt>
                <c:pt idx="20">
                  <c:v>170</c:v>
                </c:pt>
                <c:pt idx="21">
                  <c:v>200</c:v>
                </c:pt>
                <c:pt idx="22">
                  <c:v>250</c:v>
                </c:pt>
                <c:pt idx="23">
                  <c:v>300</c:v>
                </c:pt>
                <c:pt idx="24">
                  <c:v>400</c:v>
                </c:pt>
                <c:pt idx="25">
                  <c:v>500</c:v>
                </c:pt>
                <c:pt idx="26">
                  <c:v>600</c:v>
                </c:pt>
                <c:pt idx="27">
                  <c:v>700</c:v>
                </c:pt>
                <c:pt idx="28">
                  <c:v>800</c:v>
                </c:pt>
                <c:pt idx="29">
                  <c:v>900</c:v>
                </c:pt>
                <c:pt idx="30">
                  <c:v>1000</c:v>
                </c:pt>
                <c:pt idx="31">
                  <c:v>1100</c:v>
                </c:pt>
                <c:pt idx="32">
                  <c:v>1200</c:v>
                </c:pt>
                <c:pt idx="33">
                  <c:v>1300</c:v>
                </c:pt>
                <c:pt idx="34">
                  <c:v>1500</c:v>
                </c:pt>
                <c:pt idx="35">
                  <c:v>1700</c:v>
                </c:pt>
                <c:pt idx="36">
                  <c:v>2000</c:v>
                </c:pt>
                <c:pt idx="37">
                  <c:v>2500</c:v>
                </c:pt>
                <c:pt idx="38">
                  <c:v>3000</c:v>
                </c:pt>
                <c:pt idx="39">
                  <c:v>4000</c:v>
                </c:pt>
                <c:pt idx="40">
                  <c:v>5000</c:v>
                </c:pt>
                <c:pt idx="41">
                  <c:v>6000</c:v>
                </c:pt>
                <c:pt idx="42">
                  <c:v>7000</c:v>
                </c:pt>
                <c:pt idx="43">
                  <c:v>8000</c:v>
                </c:pt>
                <c:pt idx="44">
                  <c:v>9000</c:v>
                </c:pt>
                <c:pt idx="45">
                  <c:v>10000</c:v>
                </c:pt>
                <c:pt idx="46">
                  <c:v>11000</c:v>
                </c:pt>
                <c:pt idx="47">
                  <c:v>12000</c:v>
                </c:pt>
                <c:pt idx="48">
                  <c:v>13000</c:v>
                </c:pt>
                <c:pt idx="49">
                  <c:v>15000</c:v>
                </c:pt>
                <c:pt idx="50">
                  <c:v>17000</c:v>
                </c:pt>
                <c:pt idx="51">
                  <c:v>20000</c:v>
                </c:pt>
                <c:pt idx="52">
                  <c:v>25000</c:v>
                </c:pt>
                <c:pt idx="53">
                  <c:v>30000</c:v>
                </c:pt>
                <c:pt idx="54">
                  <c:v>40000</c:v>
                </c:pt>
                <c:pt idx="55">
                  <c:v>50000</c:v>
                </c:pt>
                <c:pt idx="56">
                  <c:v>60000</c:v>
                </c:pt>
                <c:pt idx="57">
                  <c:v>70000</c:v>
                </c:pt>
                <c:pt idx="58">
                  <c:v>80000</c:v>
                </c:pt>
                <c:pt idx="59">
                  <c:v>90000</c:v>
                </c:pt>
                <c:pt idx="60">
                  <c:v>100000</c:v>
                </c:pt>
              </c:numCache>
            </c:numRef>
          </c:xVal>
          <c:yVal>
            <c:numRef>
              <c:f>'RIAA 追込み特性1.72'!$HY$26:$HY$86</c:f>
              <c:numCache>
                <c:formatCode>General</c:formatCode>
                <c:ptCount val="61"/>
                <c:pt idx="0">
                  <c:v>19.564735581487792</c:v>
                </c:pt>
                <c:pt idx="1">
                  <c:v>19.530668516051428</c:v>
                </c:pt>
                <c:pt idx="2">
                  <c:v>19.493691026564445</c:v>
                </c:pt>
                <c:pt idx="3">
                  <c:v>19.45388656039205</c:v>
                </c:pt>
                <c:pt idx="4">
                  <c:v>19.366151023716643</c:v>
                </c:pt>
                <c:pt idx="5">
                  <c:v>19.268203275392239</c:v>
                </c:pt>
                <c:pt idx="6">
                  <c:v>19.103847852450112</c:v>
                </c:pt>
                <c:pt idx="7">
                  <c:v>18.790133875042493</c:v>
                </c:pt>
                <c:pt idx="8">
                  <c:v>18.437327185514754</c:v>
                </c:pt>
                <c:pt idx="9">
                  <c:v>17.65783670235318</c:v>
                </c:pt>
                <c:pt idx="10">
                  <c:v>16.835311977990152</c:v>
                </c:pt>
                <c:pt idx="11">
                  <c:v>16.013824444584145</c:v>
                </c:pt>
                <c:pt idx="12">
                  <c:v>15.217986326040405</c:v>
                </c:pt>
                <c:pt idx="13">
                  <c:v>14.460009046589162</c:v>
                </c:pt>
                <c:pt idx="14">
                  <c:v>13.744838713526423</c:v>
                </c:pt>
                <c:pt idx="15">
                  <c:v>13.073390864647839</c:v>
                </c:pt>
                <c:pt idx="16">
                  <c:v>12.444459996979766</c:v>
                </c:pt>
                <c:pt idx="17">
                  <c:v>11.855808585299604</c:v>
                </c:pt>
                <c:pt idx="18">
                  <c:v>11.304773308437021</c:v>
                </c:pt>
                <c:pt idx="19">
                  <c:v>10.304584899845308</c:v>
                </c:pt>
                <c:pt idx="20">
                  <c:v>9.4231599352115598</c:v>
                </c:pt>
                <c:pt idx="21">
                  <c:v>8.2854343976803975</c:v>
                </c:pt>
                <c:pt idx="22">
                  <c:v>6.770689877960864</c:v>
                </c:pt>
                <c:pt idx="23">
                  <c:v>5.6066001979773432</c:v>
                </c:pt>
                <c:pt idx="24">
                  <c:v>3.9713517600369439</c:v>
                </c:pt>
                <c:pt idx="25">
                  <c:v>2.9157321680707717</c:v>
                </c:pt>
                <c:pt idx="26">
                  <c:v>2.2051263702019668</c:v>
                </c:pt>
                <c:pt idx="27">
                  <c:v>1.7096505878392705</c:v>
                </c:pt>
                <c:pt idx="28">
                  <c:v>1.3534170125093681</c:v>
                </c:pt>
                <c:pt idx="29">
                  <c:v>1.090292789897461</c:v>
                </c:pt>
                <c:pt idx="30">
                  <c:v>0.89127412011967166</c:v>
                </c:pt>
                <c:pt idx="31">
                  <c:v>0.73756723826575765</c:v>
                </c:pt>
                <c:pt idx="32">
                  <c:v>0.61665421205553628</c:v>
                </c:pt>
                <c:pt idx="33">
                  <c:v>0.51998477307040147</c:v>
                </c:pt>
                <c:pt idx="34">
                  <c:v>0.37718408091258482</c:v>
                </c:pt>
                <c:pt idx="35">
                  <c:v>0.27879023634325861</c:v>
                </c:pt>
                <c:pt idx="36">
                  <c:v>0.18039219812501273</c:v>
                </c:pt>
                <c:pt idx="37">
                  <c:v>8.6043060391265414E-2</c:v>
                </c:pt>
                <c:pt idx="38">
                  <c:v>3.4089173899886305E-2</c:v>
                </c:pt>
                <c:pt idx="39">
                  <c:v>-1.7731139022750142E-2</c:v>
                </c:pt>
                <c:pt idx="40">
                  <c:v>-4.1588524143193695E-2</c:v>
                </c:pt>
                <c:pt idx="41">
                  <c:v>-5.4450454174919116E-2</c:v>
                </c:pt>
                <c:pt idx="42">
                  <c:v>-6.2155216250001644E-2</c:v>
                </c:pt>
                <c:pt idx="43">
                  <c:v>-6.7130299026693763E-2</c:v>
                </c:pt>
                <c:pt idx="44">
                  <c:v>-7.0527782900985159E-2</c:v>
                </c:pt>
                <c:pt idx="45">
                  <c:v>-7.2950625681571069E-2</c:v>
                </c:pt>
                <c:pt idx="46">
                  <c:v>-7.4739035306482293E-2</c:v>
                </c:pt>
                <c:pt idx="47">
                  <c:v>-7.6096745353886774E-2</c:v>
                </c:pt>
                <c:pt idx="48">
                  <c:v>-7.7151799189710601E-2</c:v>
                </c:pt>
                <c:pt idx="49">
                  <c:v>-7.8661853845549246E-2</c:v>
                </c:pt>
                <c:pt idx="50">
                  <c:v>-7.9669371355748808E-2</c:v>
                </c:pt>
                <c:pt idx="51">
                  <c:v>-8.0650959239491726E-2</c:v>
                </c:pt>
                <c:pt idx="52">
                  <c:v>-8.1569773996374551E-2</c:v>
                </c:pt>
                <c:pt idx="53">
                  <c:v>-8.206837602087802E-2</c:v>
                </c:pt>
                <c:pt idx="54">
                  <c:v>-8.2563785114967203E-2</c:v>
                </c:pt>
                <c:pt idx="55">
                  <c:v>-8.2792965940257091E-2</c:v>
                </c:pt>
                <c:pt idx="56">
                  <c:v>-8.2917426412862483E-2</c:v>
                </c:pt>
                <c:pt idx="57">
                  <c:v>-8.2992460946346824E-2</c:v>
                </c:pt>
                <c:pt idx="58">
                  <c:v>-8.3041156723290044E-2</c:v>
                </c:pt>
                <c:pt idx="59">
                  <c:v>-8.3074540328382795E-2</c:v>
                </c:pt>
                <c:pt idx="60">
                  <c:v>-8.3098418396133411E-2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628F-411D-A7BA-50C39095E4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2664832"/>
        <c:axId val="122556416"/>
      </c:scatterChart>
      <c:scatterChart>
        <c:scatterStyle val="smoothMarker"/>
        <c:varyColors val="0"/>
        <c:ser>
          <c:idx val="3"/>
          <c:order val="2"/>
          <c:tx>
            <c:strRef>
              <c:f>'RIAA 追込み特性1.72'!$HZ$25</c:f>
              <c:strCache>
                <c:ptCount val="1"/>
                <c:pt idx="0">
                  <c:v>レベル誤差(dB)</c:v>
                </c:pt>
              </c:strCache>
            </c:strRef>
          </c:tx>
          <c:spPr>
            <a:ln w="22225" cap="rnd">
              <a:solidFill>
                <a:srgbClr val="0000FF"/>
              </a:solidFill>
              <a:round/>
            </a:ln>
            <a:effectLst/>
          </c:spPr>
          <c:marker>
            <c:symbol val="none"/>
          </c:marker>
          <c:xVal>
            <c:numRef>
              <c:f>'RIAA 追込み特性1.72'!$HQ$26:$HQ$86</c:f>
              <c:numCache>
                <c:formatCode>General</c:formatCode>
                <c:ptCount val="61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15</c:v>
                </c:pt>
                <c:pt idx="5">
                  <c:v>17</c:v>
                </c:pt>
                <c:pt idx="6">
                  <c:v>20</c:v>
                </c:pt>
                <c:pt idx="7">
                  <c:v>25</c:v>
                </c:pt>
                <c:pt idx="8">
                  <c:v>30</c:v>
                </c:pt>
                <c:pt idx="9">
                  <c:v>40</c:v>
                </c:pt>
                <c:pt idx="10">
                  <c:v>50</c:v>
                </c:pt>
                <c:pt idx="11">
                  <c:v>60</c:v>
                </c:pt>
                <c:pt idx="12">
                  <c:v>70</c:v>
                </c:pt>
                <c:pt idx="13">
                  <c:v>80</c:v>
                </c:pt>
                <c:pt idx="14">
                  <c:v>90</c:v>
                </c:pt>
                <c:pt idx="15">
                  <c:v>100</c:v>
                </c:pt>
                <c:pt idx="16">
                  <c:v>110</c:v>
                </c:pt>
                <c:pt idx="17">
                  <c:v>120</c:v>
                </c:pt>
                <c:pt idx="18">
                  <c:v>130</c:v>
                </c:pt>
                <c:pt idx="19">
                  <c:v>150</c:v>
                </c:pt>
                <c:pt idx="20">
                  <c:v>170</c:v>
                </c:pt>
                <c:pt idx="21">
                  <c:v>200</c:v>
                </c:pt>
                <c:pt idx="22">
                  <c:v>250</c:v>
                </c:pt>
                <c:pt idx="23">
                  <c:v>300</c:v>
                </c:pt>
                <c:pt idx="24">
                  <c:v>400</c:v>
                </c:pt>
                <c:pt idx="25">
                  <c:v>500</c:v>
                </c:pt>
                <c:pt idx="26">
                  <c:v>600</c:v>
                </c:pt>
                <c:pt idx="27">
                  <c:v>700</c:v>
                </c:pt>
                <c:pt idx="28">
                  <c:v>800</c:v>
                </c:pt>
                <c:pt idx="29">
                  <c:v>900</c:v>
                </c:pt>
                <c:pt idx="30">
                  <c:v>1000</c:v>
                </c:pt>
                <c:pt idx="31">
                  <c:v>1100</c:v>
                </c:pt>
                <c:pt idx="32">
                  <c:v>1200</c:v>
                </c:pt>
                <c:pt idx="33">
                  <c:v>1300</c:v>
                </c:pt>
                <c:pt idx="34">
                  <c:v>1500</c:v>
                </c:pt>
                <c:pt idx="35">
                  <c:v>1700</c:v>
                </c:pt>
                <c:pt idx="36">
                  <c:v>2000</c:v>
                </c:pt>
                <c:pt idx="37">
                  <c:v>2500</c:v>
                </c:pt>
                <c:pt idx="38">
                  <c:v>3000</c:v>
                </c:pt>
                <c:pt idx="39">
                  <c:v>4000</c:v>
                </c:pt>
                <c:pt idx="40">
                  <c:v>5000</c:v>
                </c:pt>
                <c:pt idx="41">
                  <c:v>6000</c:v>
                </c:pt>
                <c:pt idx="42">
                  <c:v>7000</c:v>
                </c:pt>
                <c:pt idx="43">
                  <c:v>8000</c:v>
                </c:pt>
                <c:pt idx="44">
                  <c:v>9000</c:v>
                </c:pt>
                <c:pt idx="45">
                  <c:v>10000</c:v>
                </c:pt>
                <c:pt idx="46">
                  <c:v>11000</c:v>
                </c:pt>
                <c:pt idx="47">
                  <c:v>12000</c:v>
                </c:pt>
                <c:pt idx="48">
                  <c:v>13000</c:v>
                </c:pt>
                <c:pt idx="49">
                  <c:v>15000</c:v>
                </c:pt>
                <c:pt idx="50">
                  <c:v>17000</c:v>
                </c:pt>
                <c:pt idx="51">
                  <c:v>20000</c:v>
                </c:pt>
                <c:pt idx="52">
                  <c:v>25000</c:v>
                </c:pt>
                <c:pt idx="53">
                  <c:v>30000</c:v>
                </c:pt>
                <c:pt idx="54">
                  <c:v>40000</c:v>
                </c:pt>
                <c:pt idx="55">
                  <c:v>50000</c:v>
                </c:pt>
                <c:pt idx="56">
                  <c:v>60000</c:v>
                </c:pt>
                <c:pt idx="57">
                  <c:v>70000</c:v>
                </c:pt>
                <c:pt idx="58">
                  <c:v>80000</c:v>
                </c:pt>
                <c:pt idx="59">
                  <c:v>90000</c:v>
                </c:pt>
                <c:pt idx="60">
                  <c:v>100000</c:v>
                </c:pt>
              </c:numCache>
            </c:numRef>
          </c:xVal>
          <c:yVal>
            <c:numRef>
              <c:f>'RIAA 追込み特性1.72'!$HZ$26:$HZ$86</c:f>
              <c:numCache>
                <c:formatCode>0.00000</c:formatCode>
                <c:ptCount val="61"/>
                <c:pt idx="0">
                  <c:v>-0.2096087655581762</c:v>
                </c:pt>
                <c:pt idx="1">
                  <c:v>-0.20910552220628986</c:v>
                </c:pt>
                <c:pt idx="2">
                  <c:v>-0.20853995823204841</c:v>
                </c:pt>
                <c:pt idx="3">
                  <c:v>-0.20790924537420352</c:v>
                </c:pt>
                <c:pt idx="4">
                  <c:v>-0.20644189097585297</c:v>
                </c:pt>
                <c:pt idx="5">
                  <c:v>-0.20468496935444946</c:v>
                </c:pt>
                <c:pt idx="6">
                  <c:v>-0.20147882180533827</c:v>
                </c:pt>
                <c:pt idx="7">
                  <c:v>-0.19458670955395974</c:v>
                </c:pt>
                <c:pt idx="8">
                  <c:v>-0.18588064318246822</c:v>
                </c:pt>
                <c:pt idx="9">
                  <c:v>-0.164445247465693</c:v>
                </c:pt>
                <c:pt idx="10">
                  <c:v>-0.14063258433829873</c:v>
                </c:pt>
                <c:pt idx="11">
                  <c:v>-0.11740896019278679</c:v>
                </c:pt>
                <c:pt idx="12">
                  <c:v>-9.6434821471648391E-2</c:v>
                </c:pt>
                <c:pt idx="13">
                  <c:v>-7.8304909620152685E-2</c:v>
                </c:pt>
                <c:pt idx="14">
                  <c:v>-6.3004284262538235E-2</c:v>
                </c:pt>
                <c:pt idx="15">
                  <c:v>-5.0246589323688085E-2</c:v>
                </c:pt>
                <c:pt idx="16">
                  <c:v>-3.9663556648113385E-2</c:v>
                </c:pt>
                <c:pt idx="17">
                  <c:v>-3.0894331076060766E-2</c:v>
                </c:pt>
                <c:pt idx="18">
                  <c:v>-2.3620242504529543E-2</c:v>
                </c:pt>
                <c:pt idx="19">
                  <c:v>-1.2533850099993415E-2</c:v>
                </c:pt>
                <c:pt idx="20">
                  <c:v>-4.7981510122188098E-3</c:v>
                </c:pt>
                <c:pt idx="21">
                  <c:v>2.7230783827416616E-3</c:v>
                </c:pt>
                <c:pt idx="22">
                  <c:v>9.0048157995532563E-3</c:v>
                </c:pt>
                <c:pt idx="23">
                  <c:v>1.127420005837898E-2</c:v>
                </c:pt>
                <c:pt idx="24">
                  <c:v>1.0986443820726777E-2</c:v>
                </c:pt>
                <c:pt idx="25">
                  <c:v>8.6680843550652753E-3</c:v>
                </c:pt>
                <c:pt idx="26">
                  <c:v>6.1643047906301263E-3</c:v>
                </c:pt>
                <c:pt idx="27">
                  <c:v>4.0001721535816159E-3</c:v>
                </c:pt>
                <c:pt idx="28">
                  <c:v>2.2787336650047507E-3</c:v>
                </c:pt>
                <c:pt idx="29">
                  <c:v>9.678459340598522E-4</c:v>
                </c:pt>
                <c:pt idx="30">
                  <c:v>0</c:v>
                </c:pt>
                <c:pt idx="31">
                  <c:v>-6.9343670581289985E-4</c:v>
                </c:pt>
                <c:pt idx="32">
                  <c:v>-1.1718804709062169E-3</c:v>
                </c:pt>
                <c:pt idx="33">
                  <c:v>-1.4837473414033298E-3</c:v>
                </c:pt>
                <c:pt idx="34">
                  <c:v>-1.7532412968073174E-3</c:v>
                </c:pt>
                <c:pt idx="35">
                  <c:v>-1.7200043755813965E-3</c:v>
                </c:pt>
                <c:pt idx="36">
                  <c:v>-1.3785019355871952E-3</c:v>
                </c:pt>
                <c:pt idx="37">
                  <c:v>-5.4981151034994014E-4</c:v>
                </c:pt>
                <c:pt idx="38">
                  <c:v>2.6214759578380153E-4</c:v>
                </c:pt>
                <c:pt idx="39">
                  <c:v>1.4950289759170232E-3</c:v>
                </c:pt>
                <c:pt idx="40">
                  <c:v>2.2765625357692443E-3</c:v>
                </c:pt>
                <c:pt idx="41">
                  <c:v>2.7759410735868073E-3</c:v>
                </c:pt>
                <c:pt idx="42">
                  <c:v>3.1069711148532519E-3</c:v>
                </c:pt>
                <c:pt idx="43">
                  <c:v>3.3351112699691043E-3</c:v>
                </c:pt>
                <c:pt idx="44">
                  <c:v>3.4979676986672814E-3</c:v>
                </c:pt>
                <c:pt idx="45">
                  <c:v>3.617818769701131E-3</c:v>
                </c:pt>
                <c:pt idx="46">
                  <c:v>3.7083570507867591E-3</c:v>
                </c:pt>
                <c:pt idx="47">
                  <c:v>3.7783042486303486E-3</c:v>
                </c:pt>
                <c:pt idx="48">
                  <c:v>3.8334001818363106E-3</c:v>
                </c:pt>
                <c:pt idx="49">
                  <c:v>3.9134113606174026E-3</c:v>
                </c:pt>
                <c:pt idx="50">
                  <c:v>3.967568070788019E-3</c:v>
                </c:pt>
                <c:pt idx="51">
                  <c:v>4.0209388264820234E-3</c:v>
                </c:pt>
                <c:pt idx="52">
                  <c:v>4.0714500546918941E-3</c:v>
                </c:pt>
                <c:pt idx="53">
                  <c:v>4.0990878374209672E-3</c:v>
                </c:pt>
                <c:pt idx="54">
                  <c:v>4.1267090751055946E-3</c:v>
                </c:pt>
                <c:pt idx="55">
                  <c:v>4.1395414448395229E-3</c:v>
                </c:pt>
                <c:pt idx="56">
                  <c:v>4.1465248095811091E-3</c:v>
                </c:pt>
                <c:pt idx="57">
                  <c:v>4.1507398855067379E-3</c:v>
                </c:pt>
                <c:pt idx="58">
                  <c:v>4.1534773759615007E-3</c:v>
                </c:pt>
                <c:pt idx="59">
                  <c:v>4.1553549842063831E-3</c:v>
                </c:pt>
                <c:pt idx="60">
                  <c:v>4.1566984226903969E-3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628F-411D-A7BA-50C39095E4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2568704"/>
        <c:axId val="122558336"/>
      </c:scatterChart>
      <c:valAx>
        <c:axId val="122664832"/>
        <c:scaling>
          <c:logBase val="10"/>
          <c:orientation val="minMax"/>
          <c:min val="10"/>
        </c:scaling>
        <c:delete val="0"/>
        <c:axPos val="b"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周波数</a:t>
                </a:r>
                <a:r>
                  <a:rPr lang="en-US" altLang="ja-JP"/>
                  <a:t>(Hz)</a:t>
                </a:r>
                <a:endParaRPr lang="ja-JP" altLang="en-US"/>
              </a:p>
            </c:rich>
          </c:tx>
          <c:layout>
            <c:manualLayout>
              <c:xMode val="edge"/>
              <c:yMode val="edge"/>
              <c:x val="0.93106912844516632"/>
              <c:y val="0.52712317406193865"/>
            </c:manualLayout>
          </c:layout>
          <c:overlay val="0"/>
        </c:title>
        <c:numFmt formatCode="#,##0_);[Red]\(#,##0\)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122556416"/>
        <c:crosses val="autoZero"/>
        <c:crossBetween val="midCat"/>
      </c:valAx>
      <c:valAx>
        <c:axId val="122556416"/>
        <c:scaling>
          <c:orientation val="minMax"/>
          <c:max val="25"/>
          <c:min val="-2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/>
        <c:title>
          <c:tx>
            <c:rich>
              <a:bodyPr rot="0" vert="horz"/>
              <a:lstStyle/>
              <a:p>
                <a:pPr algn="l">
                  <a:defRPr sz="1200">
                    <a:latin typeface="Meiryo UI" panose="020B0604030504040204" pitchFamily="50" charset="-128"/>
                    <a:ea typeface="Meiryo UI" panose="020B0604030504040204" pitchFamily="50" charset="-128"/>
                  </a:defRPr>
                </a:pPr>
                <a:r>
                  <a:rPr lang="ja-JP" altLang="en-US" sz="1200">
                    <a:latin typeface="Meiryo UI" panose="020B0604030504040204" pitchFamily="50" charset="-128"/>
                    <a:ea typeface="Meiryo UI" panose="020B0604030504040204" pitchFamily="50" charset="-128"/>
                  </a:rPr>
                  <a:t>利得</a:t>
                </a:r>
                <a:r>
                  <a:rPr lang="en-US" altLang="ja-JP" sz="1200">
                    <a:latin typeface="Meiryo UI" panose="020B0604030504040204" pitchFamily="50" charset="-128"/>
                    <a:ea typeface="Meiryo UI" panose="020B0604030504040204" pitchFamily="50" charset="-128"/>
                  </a:rPr>
                  <a:t>(dB)</a:t>
                </a:r>
                <a:r>
                  <a:rPr lang="ja-JP" altLang="en-US" sz="1200">
                    <a:latin typeface="Meiryo UI" panose="020B0604030504040204" pitchFamily="50" charset="-128"/>
                    <a:ea typeface="Meiryo UI" panose="020B0604030504040204" pitchFamily="50" charset="-128"/>
                  </a:rPr>
                  <a:t>　</a:t>
                </a:r>
                <a:endParaRPr lang="en-US" altLang="ja-JP" sz="1200">
                  <a:latin typeface="Meiryo UI" panose="020B0604030504040204" pitchFamily="50" charset="-128"/>
                  <a:ea typeface="Meiryo UI" panose="020B0604030504040204" pitchFamily="50" charset="-128"/>
                </a:endParaRPr>
              </a:p>
              <a:p>
                <a:pPr algn="l">
                  <a:defRPr sz="1200">
                    <a:latin typeface="Meiryo UI" panose="020B0604030504040204" pitchFamily="50" charset="-128"/>
                    <a:ea typeface="Meiryo UI" panose="020B0604030504040204" pitchFamily="50" charset="-128"/>
                  </a:defRPr>
                </a:pPr>
                <a:r>
                  <a:rPr lang="en-US" altLang="ja-JP" sz="1200">
                    <a:latin typeface="Meiryo UI" panose="020B0604030504040204" pitchFamily="50" charset="-128"/>
                    <a:ea typeface="Meiryo UI" panose="020B0604030504040204" pitchFamily="50" charset="-128"/>
                  </a:rPr>
                  <a:t>Imp</a:t>
                </a:r>
                <a:r>
                  <a:rPr lang="ja-JP" altLang="en-US" sz="1200">
                    <a:latin typeface="Meiryo UI" panose="020B0604030504040204" pitchFamily="50" charset="-128"/>
                    <a:ea typeface="Meiryo UI" panose="020B0604030504040204" pitchFamily="50" charset="-128"/>
                  </a:rPr>
                  <a:t>誤差</a:t>
                </a:r>
                <a:r>
                  <a:rPr lang="en-US" altLang="ja-JP" sz="1200">
                    <a:latin typeface="Meiryo UI" panose="020B0604030504040204" pitchFamily="50" charset="-128"/>
                    <a:ea typeface="Meiryo UI" panose="020B0604030504040204" pitchFamily="50" charset="-128"/>
                  </a:rPr>
                  <a:t>(Ω)</a:t>
                </a:r>
                <a:endParaRPr lang="ja-JP" altLang="en-US" sz="1200">
                  <a:latin typeface="Meiryo UI" panose="020B0604030504040204" pitchFamily="50" charset="-128"/>
                  <a:ea typeface="Meiryo UI" panose="020B0604030504040204" pitchFamily="50" charset="-128"/>
                </a:endParaRPr>
              </a:p>
            </c:rich>
          </c:tx>
          <c:layout>
            <c:manualLayout>
              <c:xMode val="edge"/>
              <c:yMode val="edge"/>
              <c:x val="2.391977946340024E-2"/>
              <c:y val="4.7619311079719333E-2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122664832"/>
        <c:crosses val="autoZero"/>
        <c:crossBetween val="midCat"/>
        <c:majorUnit val="5"/>
        <c:minorUnit val="5"/>
      </c:valAx>
      <c:valAx>
        <c:axId val="122558336"/>
        <c:scaling>
          <c:orientation val="minMax"/>
          <c:max val="1"/>
          <c:min val="-1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 sz="1200">
                    <a:latin typeface="Meiryo UI" panose="020B0604030504040204" pitchFamily="50" charset="-128"/>
                    <a:ea typeface="Meiryo UI" panose="020B0604030504040204" pitchFamily="50" charset="-128"/>
                  </a:defRPr>
                </a:pPr>
                <a:r>
                  <a:rPr lang="ja-JP" altLang="en-US" sz="1200">
                    <a:latin typeface="Meiryo UI" panose="020B0604030504040204" pitchFamily="50" charset="-128"/>
                    <a:ea typeface="Meiryo UI" panose="020B0604030504040204" pitchFamily="50" charset="-128"/>
                  </a:rPr>
                  <a:t>利得誤差</a:t>
                </a:r>
                <a:endParaRPr lang="en-US" altLang="ja-JP" sz="1200">
                  <a:latin typeface="Meiryo UI" panose="020B0604030504040204" pitchFamily="50" charset="-128"/>
                  <a:ea typeface="Meiryo UI" panose="020B0604030504040204" pitchFamily="50" charset="-128"/>
                </a:endParaRPr>
              </a:p>
              <a:p>
                <a:pPr>
                  <a:defRPr sz="1200">
                    <a:latin typeface="Meiryo UI" panose="020B0604030504040204" pitchFamily="50" charset="-128"/>
                    <a:ea typeface="Meiryo UI" panose="020B0604030504040204" pitchFamily="50" charset="-128"/>
                  </a:defRPr>
                </a:pPr>
                <a:r>
                  <a:rPr lang="en-US" altLang="ja-JP" sz="1200">
                    <a:latin typeface="Meiryo UI" panose="020B0604030504040204" pitchFamily="50" charset="-128"/>
                    <a:ea typeface="Meiryo UI" panose="020B0604030504040204" pitchFamily="50" charset="-128"/>
                  </a:rPr>
                  <a:t>(dB)</a:t>
                </a:r>
                <a:endParaRPr lang="ja-JP" altLang="en-US" sz="1200">
                  <a:latin typeface="Meiryo UI" panose="020B0604030504040204" pitchFamily="50" charset="-128"/>
                  <a:ea typeface="Meiryo UI" panose="020B0604030504040204" pitchFamily="50" charset="-128"/>
                </a:endParaRPr>
              </a:p>
            </c:rich>
          </c:tx>
          <c:layout>
            <c:manualLayout>
              <c:xMode val="edge"/>
              <c:yMode val="edge"/>
              <c:x val="0.88674587127184579"/>
              <c:y val="5.9485375551694052E-2"/>
            </c:manualLayout>
          </c:layout>
          <c:overlay val="0"/>
        </c:title>
        <c:numFmt formatCode="#,##0.00_);[Red]\(#,##0.00\)" sourceLinked="0"/>
        <c:majorTickMark val="out"/>
        <c:minorTickMark val="none"/>
        <c:tickLblPos val="nextTo"/>
        <c:txPr>
          <a:bodyPr/>
          <a:lstStyle/>
          <a:p>
            <a:pPr>
              <a:defRPr sz="1400">
                <a:latin typeface="Meiryo UI" panose="020B0604030504040204" pitchFamily="50" charset="-128"/>
                <a:ea typeface="Meiryo UI" panose="020B0604030504040204" pitchFamily="50" charset="-128"/>
              </a:defRPr>
            </a:pPr>
            <a:endParaRPr lang="ja-JP"/>
          </a:p>
        </c:txPr>
        <c:crossAx val="122568704"/>
        <c:crosses val="max"/>
        <c:crossBetween val="midCat"/>
      </c:valAx>
      <c:valAx>
        <c:axId val="122568704"/>
        <c:scaling>
          <c:logBase val="10"/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255833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67930384401214938"/>
          <c:y val="0.16757958094696421"/>
          <c:w val="0.19154723963390688"/>
          <c:h val="0.2263851291678844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27</xdr:row>
      <xdr:rowOff>0</xdr:rowOff>
    </xdr:from>
    <xdr:to>
      <xdr:col>36</xdr:col>
      <xdr:colOff>104775</xdr:colOff>
      <xdr:row>27</xdr:row>
      <xdr:rowOff>0</xdr:rowOff>
    </xdr:to>
    <xdr:sp macro="" textlink="">
      <xdr:nvSpPr>
        <xdr:cNvPr id="2" name="Line 3849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 bwMode="auto">
        <a:xfrm>
          <a:off x="47625" y="5143500"/>
          <a:ext cx="689610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29</xdr:col>
      <xdr:colOff>66675</xdr:colOff>
      <xdr:row>20</xdr:row>
      <xdr:rowOff>95250</xdr:rowOff>
    </xdr:from>
    <xdr:to>
      <xdr:col>30</xdr:col>
      <xdr:colOff>85725</xdr:colOff>
      <xdr:row>22</xdr:row>
      <xdr:rowOff>161925</xdr:rowOff>
    </xdr:to>
    <xdr:grpSp>
      <xdr:nvGrpSpPr>
        <xdr:cNvPr id="3" name="Group 4836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pSpPr>
          <a:grpSpLocks/>
        </xdr:cNvGrpSpPr>
      </xdr:nvGrpSpPr>
      <xdr:grpSpPr bwMode="auto">
        <a:xfrm>
          <a:off x="5580592" y="3905250"/>
          <a:ext cx="209550" cy="447675"/>
          <a:chOff x="1788" y="432"/>
          <a:chExt cx="22" cy="47"/>
        </a:xfrm>
      </xdr:grpSpPr>
      <xdr:sp macro="" textlink="">
        <xdr:nvSpPr>
          <xdr:cNvPr id="4" name="Line 4837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>
            <a:spLocks noChangeAspect="1" noChangeShapeType="1"/>
          </xdr:cNvSpPr>
        </xdr:nvSpPr>
        <xdr:spPr bwMode="auto">
          <a:xfrm rot="10800000">
            <a:off x="1799" y="445"/>
            <a:ext cx="11" cy="3"/>
          </a:xfrm>
          <a:prstGeom prst="line">
            <a:avLst/>
          </a:prstGeom>
          <a:noFill/>
          <a:ln w="190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" name="Line 4838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>
            <a:spLocks noChangeAspect="1" noChangeShapeType="1"/>
          </xdr:cNvSpPr>
        </xdr:nvSpPr>
        <xdr:spPr bwMode="auto">
          <a:xfrm rot="10800000" flipV="1">
            <a:off x="1788" y="448"/>
            <a:ext cx="22" cy="6"/>
          </a:xfrm>
          <a:prstGeom prst="line">
            <a:avLst/>
          </a:prstGeom>
          <a:noFill/>
          <a:ln w="190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" name="Line 4839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>
            <a:spLocks noChangeAspect="1" noChangeShapeType="1"/>
          </xdr:cNvSpPr>
        </xdr:nvSpPr>
        <xdr:spPr bwMode="auto">
          <a:xfrm rot="10800000">
            <a:off x="1788" y="454"/>
            <a:ext cx="22" cy="5"/>
          </a:xfrm>
          <a:prstGeom prst="line">
            <a:avLst/>
          </a:prstGeom>
          <a:noFill/>
          <a:ln w="190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" name="Line 4840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SpPr>
            <a:spLocks noChangeAspect="1" noChangeShapeType="1"/>
          </xdr:cNvSpPr>
        </xdr:nvSpPr>
        <xdr:spPr bwMode="auto">
          <a:xfrm rot="10800000" flipV="1">
            <a:off x="1788" y="459"/>
            <a:ext cx="22" cy="6"/>
          </a:xfrm>
          <a:prstGeom prst="line">
            <a:avLst/>
          </a:prstGeom>
          <a:noFill/>
          <a:ln w="190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" name="Line 4841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SpPr>
            <a:spLocks noChangeAspect="1" noChangeShapeType="1"/>
          </xdr:cNvSpPr>
        </xdr:nvSpPr>
        <xdr:spPr bwMode="auto">
          <a:xfrm rot="10800000">
            <a:off x="1788" y="465"/>
            <a:ext cx="22" cy="5"/>
          </a:xfrm>
          <a:prstGeom prst="line">
            <a:avLst/>
          </a:prstGeom>
          <a:noFill/>
          <a:ln w="190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" name="Line 4842">
            <a:extLst>
              <a:ext uri="{FF2B5EF4-FFF2-40B4-BE49-F238E27FC236}">
                <a16:creationId xmlns:a16="http://schemas.microsoft.com/office/drawing/2014/main" id="{00000000-0008-0000-0000-000009000000}"/>
              </a:ext>
            </a:extLst>
          </xdr:cNvPr>
          <xdr:cNvSpPr>
            <a:spLocks noChangeAspect="1" noChangeShapeType="1"/>
          </xdr:cNvSpPr>
        </xdr:nvSpPr>
        <xdr:spPr bwMode="auto">
          <a:xfrm rot="10800000" flipV="1">
            <a:off x="1788" y="470"/>
            <a:ext cx="22" cy="6"/>
          </a:xfrm>
          <a:prstGeom prst="line">
            <a:avLst/>
          </a:prstGeom>
          <a:noFill/>
          <a:ln w="190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" name="Line 4843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SpPr>
            <a:spLocks noChangeAspect="1" noChangeShapeType="1"/>
          </xdr:cNvSpPr>
        </xdr:nvSpPr>
        <xdr:spPr bwMode="auto">
          <a:xfrm rot="10800000">
            <a:off x="1788" y="476"/>
            <a:ext cx="11" cy="3"/>
          </a:xfrm>
          <a:prstGeom prst="line">
            <a:avLst/>
          </a:prstGeom>
          <a:noFill/>
          <a:ln w="190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" name="Line 4844">
            <a:extLst>
              <a:ext uri="{FF2B5EF4-FFF2-40B4-BE49-F238E27FC236}">
                <a16:creationId xmlns:a16="http://schemas.microsoft.com/office/drawing/2014/main" id="{00000000-0008-0000-0000-00000B000000}"/>
              </a:ext>
            </a:extLst>
          </xdr:cNvPr>
          <xdr:cNvSpPr>
            <a:spLocks noChangeAspect="1" noChangeShapeType="1"/>
          </xdr:cNvSpPr>
        </xdr:nvSpPr>
        <xdr:spPr bwMode="auto">
          <a:xfrm rot="10800000">
            <a:off x="1799" y="432"/>
            <a:ext cx="0" cy="14"/>
          </a:xfrm>
          <a:prstGeom prst="line">
            <a:avLst/>
          </a:prstGeom>
          <a:noFill/>
          <a:ln w="190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23</xdr:col>
      <xdr:colOff>152400</xdr:colOff>
      <xdr:row>11</xdr:row>
      <xdr:rowOff>0</xdr:rowOff>
    </xdr:from>
    <xdr:to>
      <xdr:col>35</xdr:col>
      <xdr:colOff>152400</xdr:colOff>
      <xdr:row>11</xdr:row>
      <xdr:rowOff>0</xdr:rowOff>
    </xdr:to>
    <xdr:sp macro="" textlink="">
      <xdr:nvSpPr>
        <xdr:cNvPr id="12" name="Line 4845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ShapeType="1"/>
        </xdr:cNvSpPr>
      </xdr:nvSpPr>
      <xdr:spPr bwMode="auto">
        <a:xfrm>
          <a:off x="4524375" y="2095500"/>
          <a:ext cx="228600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29</xdr:col>
      <xdr:colOff>171450</xdr:colOff>
      <xdr:row>10</xdr:row>
      <xdr:rowOff>161925</xdr:rowOff>
    </xdr:from>
    <xdr:to>
      <xdr:col>29</xdr:col>
      <xdr:colOff>171450</xdr:colOff>
      <xdr:row>20</xdr:row>
      <xdr:rowOff>114300</xdr:rowOff>
    </xdr:to>
    <xdr:sp macro="" textlink="">
      <xdr:nvSpPr>
        <xdr:cNvPr id="13" name="Line 4847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ShapeType="1"/>
        </xdr:cNvSpPr>
      </xdr:nvSpPr>
      <xdr:spPr bwMode="auto">
        <a:xfrm>
          <a:off x="5686425" y="2066925"/>
          <a:ext cx="0" cy="1857375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29</xdr:col>
      <xdr:colOff>152400</xdr:colOff>
      <xdr:row>10</xdr:row>
      <xdr:rowOff>152400</xdr:rowOff>
    </xdr:from>
    <xdr:to>
      <xdr:col>30</xdr:col>
      <xdr:colOff>47625</xdr:colOff>
      <xdr:row>11</xdr:row>
      <xdr:rowOff>47625</xdr:rowOff>
    </xdr:to>
    <xdr:sp macro="" textlink="">
      <xdr:nvSpPr>
        <xdr:cNvPr id="14" name="Oval 4848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rrowheads="1"/>
        </xdr:cNvSpPr>
      </xdr:nvSpPr>
      <xdr:spPr bwMode="auto">
        <a:xfrm>
          <a:off x="5667375" y="2057400"/>
          <a:ext cx="85725" cy="8572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29</xdr:col>
      <xdr:colOff>171450</xdr:colOff>
      <xdr:row>22</xdr:row>
      <xdr:rowOff>161925</xdr:rowOff>
    </xdr:from>
    <xdr:to>
      <xdr:col>29</xdr:col>
      <xdr:colOff>171450</xdr:colOff>
      <xdr:row>26</xdr:row>
      <xdr:rowOff>142875</xdr:rowOff>
    </xdr:to>
    <xdr:sp macro="" textlink="">
      <xdr:nvSpPr>
        <xdr:cNvPr id="15" name="Line 4850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ShapeType="1"/>
        </xdr:cNvSpPr>
      </xdr:nvSpPr>
      <xdr:spPr bwMode="auto">
        <a:xfrm>
          <a:off x="5686425" y="4352925"/>
          <a:ext cx="0" cy="74295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133350</xdr:colOff>
      <xdr:row>11</xdr:row>
      <xdr:rowOff>0</xdr:rowOff>
    </xdr:from>
    <xdr:to>
      <xdr:col>6</xdr:col>
      <xdr:colOff>19050</xdr:colOff>
      <xdr:row>11</xdr:row>
      <xdr:rowOff>0</xdr:rowOff>
    </xdr:to>
    <xdr:sp macro="" textlink="">
      <xdr:nvSpPr>
        <xdr:cNvPr id="16" name="Line 4948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ShapeType="1"/>
        </xdr:cNvSpPr>
      </xdr:nvSpPr>
      <xdr:spPr bwMode="auto">
        <a:xfrm>
          <a:off x="133350" y="2095500"/>
          <a:ext cx="102870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9525</xdr:colOff>
      <xdr:row>10</xdr:row>
      <xdr:rowOff>85725</xdr:rowOff>
    </xdr:from>
    <xdr:to>
      <xdr:col>9</xdr:col>
      <xdr:colOff>28575</xdr:colOff>
      <xdr:row>11</xdr:row>
      <xdr:rowOff>104775</xdr:rowOff>
    </xdr:to>
    <xdr:grpSp>
      <xdr:nvGrpSpPr>
        <xdr:cNvPr id="17" name="Group 4624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pSpPr>
          <a:grpSpLocks/>
        </xdr:cNvGrpSpPr>
      </xdr:nvGrpSpPr>
      <xdr:grpSpPr bwMode="auto">
        <a:xfrm>
          <a:off x="1152525" y="1990725"/>
          <a:ext cx="579967" cy="209550"/>
          <a:chOff x="965" y="749"/>
          <a:chExt cx="62" cy="22"/>
        </a:xfrm>
      </xdr:grpSpPr>
      <xdr:sp macro="" textlink="">
        <xdr:nvSpPr>
          <xdr:cNvPr id="18" name="Line 4625">
            <a:extLst>
              <a:ext uri="{FF2B5EF4-FFF2-40B4-BE49-F238E27FC236}">
                <a16:creationId xmlns:a16="http://schemas.microsoft.com/office/drawing/2014/main" id="{00000000-0008-0000-0000-000012000000}"/>
              </a:ext>
            </a:extLst>
          </xdr:cNvPr>
          <xdr:cNvSpPr>
            <a:spLocks noChangeAspect="1" noChangeShapeType="1"/>
          </xdr:cNvSpPr>
        </xdr:nvSpPr>
        <xdr:spPr bwMode="auto">
          <a:xfrm rot="-5400000">
            <a:off x="1006" y="764"/>
            <a:ext cx="11" cy="3"/>
          </a:xfrm>
          <a:prstGeom prst="line">
            <a:avLst/>
          </a:prstGeom>
          <a:noFill/>
          <a:ln w="190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" name="Line 4626">
            <a:extLst>
              <a:ext uri="{FF2B5EF4-FFF2-40B4-BE49-F238E27FC236}">
                <a16:creationId xmlns:a16="http://schemas.microsoft.com/office/drawing/2014/main" id="{00000000-0008-0000-0000-000013000000}"/>
              </a:ext>
            </a:extLst>
          </xdr:cNvPr>
          <xdr:cNvSpPr>
            <a:spLocks noChangeAspect="1" noChangeShapeType="1"/>
          </xdr:cNvSpPr>
        </xdr:nvSpPr>
        <xdr:spPr bwMode="auto">
          <a:xfrm rot="16200000" flipV="1">
            <a:off x="996" y="757"/>
            <a:ext cx="22" cy="6"/>
          </a:xfrm>
          <a:prstGeom prst="line">
            <a:avLst/>
          </a:prstGeom>
          <a:noFill/>
          <a:ln w="190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0" name="Line 4627">
            <a:extLst>
              <a:ext uri="{FF2B5EF4-FFF2-40B4-BE49-F238E27FC236}">
                <a16:creationId xmlns:a16="http://schemas.microsoft.com/office/drawing/2014/main" id="{00000000-0008-0000-0000-000014000000}"/>
              </a:ext>
            </a:extLst>
          </xdr:cNvPr>
          <xdr:cNvSpPr>
            <a:spLocks noChangeAspect="1" noChangeShapeType="1"/>
          </xdr:cNvSpPr>
        </xdr:nvSpPr>
        <xdr:spPr bwMode="auto">
          <a:xfrm rot="-5400000">
            <a:off x="990" y="757"/>
            <a:ext cx="22" cy="5"/>
          </a:xfrm>
          <a:prstGeom prst="line">
            <a:avLst/>
          </a:prstGeom>
          <a:noFill/>
          <a:ln w="190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1" name="Line 4628">
            <a:extLst>
              <a:ext uri="{FF2B5EF4-FFF2-40B4-BE49-F238E27FC236}">
                <a16:creationId xmlns:a16="http://schemas.microsoft.com/office/drawing/2014/main" id="{00000000-0008-0000-0000-000015000000}"/>
              </a:ext>
            </a:extLst>
          </xdr:cNvPr>
          <xdr:cNvSpPr>
            <a:spLocks noChangeAspect="1" noChangeShapeType="1"/>
          </xdr:cNvSpPr>
        </xdr:nvSpPr>
        <xdr:spPr bwMode="auto">
          <a:xfrm rot="16200000" flipV="1">
            <a:off x="985" y="757"/>
            <a:ext cx="22" cy="6"/>
          </a:xfrm>
          <a:prstGeom prst="line">
            <a:avLst/>
          </a:prstGeom>
          <a:noFill/>
          <a:ln w="190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2" name="Line 4629">
            <a:extLst>
              <a:ext uri="{FF2B5EF4-FFF2-40B4-BE49-F238E27FC236}">
                <a16:creationId xmlns:a16="http://schemas.microsoft.com/office/drawing/2014/main" id="{00000000-0008-0000-0000-000016000000}"/>
              </a:ext>
            </a:extLst>
          </xdr:cNvPr>
          <xdr:cNvSpPr>
            <a:spLocks noChangeAspect="1" noChangeShapeType="1"/>
          </xdr:cNvSpPr>
        </xdr:nvSpPr>
        <xdr:spPr bwMode="auto">
          <a:xfrm rot="-5400000">
            <a:off x="979" y="757"/>
            <a:ext cx="22" cy="5"/>
          </a:xfrm>
          <a:prstGeom prst="line">
            <a:avLst/>
          </a:prstGeom>
          <a:noFill/>
          <a:ln w="190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" name="Line 4630">
            <a:extLst>
              <a:ext uri="{FF2B5EF4-FFF2-40B4-BE49-F238E27FC236}">
                <a16:creationId xmlns:a16="http://schemas.microsoft.com/office/drawing/2014/main" id="{00000000-0008-0000-0000-000017000000}"/>
              </a:ext>
            </a:extLst>
          </xdr:cNvPr>
          <xdr:cNvSpPr>
            <a:spLocks noChangeAspect="1" noChangeShapeType="1"/>
          </xdr:cNvSpPr>
        </xdr:nvSpPr>
        <xdr:spPr bwMode="auto">
          <a:xfrm rot="16200000" flipV="1">
            <a:off x="973" y="757"/>
            <a:ext cx="22" cy="6"/>
          </a:xfrm>
          <a:prstGeom prst="line">
            <a:avLst/>
          </a:prstGeom>
          <a:noFill/>
          <a:ln w="190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4" name="Line 4631">
            <a:extLst>
              <a:ext uri="{FF2B5EF4-FFF2-40B4-BE49-F238E27FC236}">
                <a16:creationId xmlns:a16="http://schemas.microsoft.com/office/drawing/2014/main" id="{00000000-0008-0000-0000-000018000000}"/>
              </a:ext>
            </a:extLst>
          </xdr:cNvPr>
          <xdr:cNvSpPr>
            <a:spLocks noChangeAspect="1" noChangeShapeType="1"/>
          </xdr:cNvSpPr>
        </xdr:nvSpPr>
        <xdr:spPr bwMode="auto">
          <a:xfrm rot="-5400000">
            <a:off x="974" y="753"/>
            <a:ext cx="11" cy="3"/>
          </a:xfrm>
          <a:prstGeom prst="line">
            <a:avLst/>
          </a:prstGeom>
          <a:noFill/>
          <a:ln w="190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5" name="Line 4632">
            <a:extLst>
              <a:ext uri="{FF2B5EF4-FFF2-40B4-BE49-F238E27FC236}">
                <a16:creationId xmlns:a16="http://schemas.microsoft.com/office/drawing/2014/main" id="{00000000-0008-0000-0000-000019000000}"/>
              </a:ext>
            </a:extLst>
          </xdr:cNvPr>
          <xdr:cNvSpPr>
            <a:spLocks noChangeAspect="1" noChangeShapeType="1"/>
          </xdr:cNvSpPr>
        </xdr:nvSpPr>
        <xdr:spPr bwMode="auto">
          <a:xfrm rot="-5400000">
            <a:off x="1020" y="753"/>
            <a:ext cx="0" cy="14"/>
          </a:xfrm>
          <a:prstGeom prst="line">
            <a:avLst/>
          </a:prstGeom>
          <a:noFill/>
          <a:ln w="190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6" name="Line 4633">
            <a:extLst>
              <a:ext uri="{FF2B5EF4-FFF2-40B4-BE49-F238E27FC236}">
                <a16:creationId xmlns:a16="http://schemas.microsoft.com/office/drawing/2014/main" id="{00000000-0008-0000-0000-00001A000000}"/>
              </a:ext>
            </a:extLst>
          </xdr:cNvPr>
          <xdr:cNvSpPr>
            <a:spLocks noChangeAspect="1" noChangeShapeType="1"/>
          </xdr:cNvSpPr>
        </xdr:nvSpPr>
        <xdr:spPr bwMode="auto">
          <a:xfrm rot="-5400000">
            <a:off x="972" y="753"/>
            <a:ext cx="0" cy="14"/>
          </a:xfrm>
          <a:prstGeom prst="line">
            <a:avLst/>
          </a:prstGeom>
          <a:noFill/>
          <a:ln w="190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10</xdr:col>
      <xdr:colOff>152400</xdr:colOff>
      <xdr:row>10</xdr:row>
      <xdr:rowOff>85725</xdr:rowOff>
    </xdr:from>
    <xdr:to>
      <xdr:col>13</xdr:col>
      <xdr:colOff>171450</xdr:colOff>
      <xdr:row>11</xdr:row>
      <xdr:rowOff>104775</xdr:rowOff>
    </xdr:to>
    <xdr:grpSp>
      <xdr:nvGrpSpPr>
        <xdr:cNvPr id="27" name="Group 4624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GrpSpPr>
          <a:grpSpLocks/>
        </xdr:cNvGrpSpPr>
      </xdr:nvGrpSpPr>
      <xdr:grpSpPr bwMode="auto">
        <a:xfrm>
          <a:off x="2046817" y="1990725"/>
          <a:ext cx="590550" cy="209550"/>
          <a:chOff x="965" y="749"/>
          <a:chExt cx="62" cy="22"/>
        </a:xfrm>
      </xdr:grpSpPr>
      <xdr:sp macro="" textlink="">
        <xdr:nvSpPr>
          <xdr:cNvPr id="28" name="Line 4625">
            <a:extLst>
              <a:ext uri="{FF2B5EF4-FFF2-40B4-BE49-F238E27FC236}">
                <a16:creationId xmlns:a16="http://schemas.microsoft.com/office/drawing/2014/main" id="{00000000-0008-0000-0000-00001C000000}"/>
              </a:ext>
            </a:extLst>
          </xdr:cNvPr>
          <xdr:cNvSpPr>
            <a:spLocks noChangeAspect="1" noChangeShapeType="1"/>
          </xdr:cNvSpPr>
        </xdr:nvSpPr>
        <xdr:spPr bwMode="auto">
          <a:xfrm rot="-5400000">
            <a:off x="1006" y="764"/>
            <a:ext cx="11" cy="3"/>
          </a:xfrm>
          <a:prstGeom prst="line">
            <a:avLst/>
          </a:prstGeom>
          <a:noFill/>
          <a:ln w="190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9" name="Line 4626">
            <a:extLst>
              <a:ext uri="{FF2B5EF4-FFF2-40B4-BE49-F238E27FC236}">
                <a16:creationId xmlns:a16="http://schemas.microsoft.com/office/drawing/2014/main" id="{00000000-0008-0000-0000-00001D000000}"/>
              </a:ext>
            </a:extLst>
          </xdr:cNvPr>
          <xdr:cNvSpPr>
            <a:spLocks noChangeAspect="1" noChangeShapeType="1"/>
          </xdr:cNvSpPr>
        </xdr:nvSpPr>
        <xdr:spPr bwMode="auto">
          <a:xfrm rot="16200000" flipV="1">
            <a:off x="996" y="757"/>
            <a:ext cx="22" cy="6"/>
          </a:xfrm>
          <a:prstGeom prst="line">
            <a:avLst/>
          </a:prstGeom>
          <a:noFill/>
          <a:ln w="190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" name="Line 4627">
            <a:extLst>
              <a:ext uri="{FF2B5EF4-FFF2-40B4-BE49-F238E27FC236}">
                <a16:creationId xmlns:a16="http://schemas.microsoft.com/office/drawing/2014/main" id="{00000000-0008-0000-0000-00001E000000}"/>
              </a:ext>
            </a:extLst>
          </xdr:cNvPr>
          <xdr:cNvSpPr>
            <a:spLocks noChangeAspect="1" noChangeShapeType="1"/>
          </xdr:cNvSpPr>
        </xdr:nvSpPr>
        <xdr:spPr bwMode="auto">
          <a:xfrm rot="-5400000">
            <a:off x="990" y="757"/>
            <a:ext cx="22" cy="5"/>
          </a:xfrm>
          <a:prstGeom prst="line">
            <a:avLst/>
          </a:prstGeom>
          <a:noFill/>
          <a:ln w="190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1" name="Line 4628">
            <a:extLst>
              <a:ext uri="{FF2B5EF4-FFF2-40B4-BE49-F238E27FC236}">
                <a16:creationId xmlns:a16="http://schemas.microsoft.com/office/drawing/2014/main" id="{00000000-0008-0000-0000-00001F000000}"/>
              </a:ext>
            </a:extLst>
          </xdr:cNvPr>
          <xdr:cNvSpPr>
            <a:spLocks noChangeAspect="1" noChangeShapeType="1"/>
          </xdr:cNvSpPr>
        </xdr:nvSpPr>
        <xdr:spPr bwMode="auto">
          <a:xfrm rot="16200000" flipV="1">
            <a:off x="985" y="757"/>
            <a:ext cx="22" cy="6"/>
          </a:xfrm>
          <a:prstGeom prst="line">
            <a:avLst/>
          </a:prstGeom>
          <a:noFill/>
          <a:ln w="190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2" name="Line 4629">
            <a:extLst>
              <a:ext uri="{FF2B5EF4-FFF2-40B4-BE49-F238E27FC236}">
                <a16:creationId xmlns:a16="http://schemas.microsoft.com/office/drawing/2014/main" id="{00000000-0008-0000-0000-000020000000}"/>
              </a:ext>
            </a:extLst>
          </xdr:cNvPr>
          <xdr:cNvSpPr>
            <a:spLocks noChangeAspect="1" noChangeShapeType="1"/>
          </xdr:cNvSpPr>
        </xdr:nvSpPr>
        <xdr:spPr bwMode="auto">
          <a:xfrm rot="-5400000">
            <a:off x="979" y="757"/>
            <a:ext cx="22" cy="5"/>
          </a:xfrm>
          <a:prstGeom prst="line">
            <a:avLst/>
          </a:prstGeom>
          <a:noFill/>
          <a:ln w="190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3" name="Line 4630">
            <a:extLst>
              <a:ext uri="{FF2B5EF4-FFF2-40B4-BE49-F238E27FC236}">
                <a16:creationId xmlns:a16="http://schemas.microsoft.com/office/drawing/2014/main" id="{00000000-0008-0000-0000-000021000000}"/>
              </a:ext>
            </a:extLst>
          </xdr:cNvPr>
          <xdr:cNvSpPr>
            <a:spLocks noChangeAspect="1" noChangeShapeType="1"/>
          </xdr:cNvSpPr>
        </xdr:nvSpPr>
        <xdr:spPr bwMode="auto">
          <a:xfrm rot="16200000" flipV="1">
            <a:off x="973" y="757"/>
            <a:ext cx="22" cy="6"/>
          </a:xfrm>
          <a:prstGeom prst="line">
            <a:avLst/>
          </a:prstGeom>
          <a:noFill/>
          <a:ln w="190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4" name="Line 4631">
            <a:extLst>
              <a:ext uri="{FF2B5EF4-FFF2-40B4-BE49-F238E27FC236}">
                <a16:creationId xmlns:a16="http://schemas.microsoft.com/office/drawing/2014/main" id="{00000000-0008-0000-0000-000022000000}"/>
              </a:ext>
            </a:extLst>
          </xdr:cNvPr>
          <xdr:cNvSpPr>
            <a:spLocks noChangeAspect="1" noChangeShapeType="1"/>
          </xdr:cNvSpPr>
        </xdr:nvSpPr>
        <xdr:spPr bwMode="auto">
          <a:xfrm rot="-5400000">
            <a:off x="974" y="753"/>
            <a:ext cx="11" cy="3"/>
          </a:xfrm>
          <a:prstGeom prst="line">
            <a:avLst/>
          </a:prstGeom>
          <a:noFill/>
          <a:ln w="190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5" name="Line 4632">
            <a:extLst>
              <a:ext uri="{FF2B5EF4-FFF2-40B4-BE49-F238E27FC236}">
                <a16:creationId xmlns:a16="http://schemas.microsoft.com/office/drawing/2014/main" id="{00000000-0008-0000-0000-000023000000}"/>
              </a:ext>
            </a:extLst>
          </xdr:cNvPr>
          <xdr:cNvSpPr>
            <a:spLocks noChangeAspect="1" noChangeShapeType="1"/>
          </xdr:cNvSpPr>
        </xdr:nvSpPr>
        <xdr:spPr bwMode="auto">
          <a:xfrm rot="-5400000">
            <a:off x="1020" y="753"/>
            <a:ext cx="0" cy="14"/>
          </a:xfrm>
          <a:prstGeom prst="line">
            <a:avLst/>
          </a:prstGeom>
          <a:noFill/>
          <a:ln w="190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6" name="Line 4633">
            <a:extLst>
              <a:ext uri="{FF2B5EF4-FFF2-40B4-BE49-F238E27FC236}">
                <a16:creationId xmlns:a16="http://schemas.microsoft.com/office/drawing/2014/main" id="{00000000-0008-0000-0000-000024000000}"/>
              </a:ext>
            </a:extLst>
          </xdr:cNvPr>
          <xdr:cNvSpPr>
            <a:spLocks noChangeAspect="1" noChangeShapeType="1"/>
          </xdr:cNvSpPr>
        </xdr:nvSpPr>
        <xdr:spPr bwMode="auto">
          <a:xfrm rot="-5400000">
            <a:off x="972" y="753"/>
            <a:ext cx="0" cy="14"/>
          </a:xfrm>
          <a:prstGeom prst="line">
            <a:avLst/>
          </a:prstGeom>
          <a:noFill/>
          <a:ln w="190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16</xdr:col>
      <xdr:colOff>19050</xdr:colOff>
      <xdr:row>10</xdr:row>
      <xdr:rowOff>85725</xdr:rowOff>
    </xdr:from>
    <xdr:to>
      <xdr:col>19</xdr:col>
      <xdr:colOff>38100</xdr:colOff>
      <xdr:row>11</xdr:row>
      <xdr:rowOff>104775</xdr:rowOff>
    </xdr:to>
    <xdr:grpSp>
      <xdr:nvGrpSpPr>
        <xdr:cNvPr id="37" name="Group 4624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GrpSpPr>
          <a:grpSpLocks/>
        </xdr:cNvGrpSpPr>
      </xdr:nvGrpSpPr>
      <xdr:grpSpPr bwMode="auto">
        <a:xfrm>
          <a:off x="3056467" y="1990725"/>
          <a:ext cx="590550" cy="209550"/>
          <a:chOff x="965" y="749"/>
          <a:chExt cx="62" cy="22"/>
        </a:xfrm>
      </xdr:grpSpPr>
      <xdr:sp macro="" textlink="">
        <xdr:nvSpPr>
          <xdr:cNvPr id="38" name="Line 4625">
            <a:extLst>
              <a:ext uri="{FF2B5EF4-FFF2-40B4-BE49-F238E27FC236}">
                <a16:creationId xmlns:a16="http://schemas.microsoft.com/office/drawing/2014/main" id="{00000000-0008-0000-0000-000026000000}"/>
              </a:ext>
            </a:extLst>
          </xdr:cNvPr>
          <xdr:cNvSpPr>
            <a:spLocks noChangeAspect="1" noChangeShapeType="1"/>
          </xdr:cNvSpPr>
        </xdr:nvSpPr>
        <xdr:spPr bwMode="auto">
          <a:xfrm rot="-5400000">
            <a:off x="1006" y="764"/>
            <a:ext cx="11" cy="3"/>
          </a:xfrm>
          <a:prstGeom prst="line">
            <a:avLst/>
          </a:prstGeom>
          <a:noFill/>
          <a:ln w="190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9" name="Line 4626">
            <a:extLst>
              <a:ext uri="{FF2B5EF4-FFF2-40B4-BE49-F238E27FC236}">
                <a16:creationId xmlns:a16="http://schemas.microsoft.com/office/drawing/2014/main" id="{00000000-0008-0000-0000-000027000000}"/>
              </a:ext>
            </a:extLst>
          </xdr:cNvPr>
          <xdr:cNvSpPr>
            <a:spLocks noChangeAspect="1" noChangeShapeType="1"/>
          </xdr:cNvSpPr>
        </xdr:nvSpPr>
        <xdr:spPr bwMode="auto">
          <a:xfrm rot="16200000" flipV="1">
            <a:off x="996" y="757"/>
            <a:ext cx="22" cy="6"/>
          </a:xfrm>
          <a:prstGeom prst="line">
            <a:avLst/>
          </a:prstGeom>
          <a:noFill/>
          <a:ln w="190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0" name="Line 4627">
            <a:extLst>
              <a:ext uri="{FF2B5EF4-FFF2-40B4-BE49-F238E27FC236}">
                <a16:creationId xmlns:a16="http://schemas.microsoft.com/office/drawing/2014/main" id="{00000000-0008-0000-0000-000028000000}"/>
              </a:ext>
            </a:extLst>
          </xdr:cNvPr>
          <xdr:cNvSpPr>
            <a:spLocks noChangeAspect="1" noChangeShapeType="1"/>
          </xdr:cNvSpPr>
        </xdr:nvSpPr>
        <xdr:spPr bwMode="auto">
          <a:xfrm rot="-5400000">
            <a:off x="990" y="757"/>
            <a:ext cx="22" cy="5"/>
          </a:xfrm>
          <a:prstGeom prst="line">
            <a:avLst/>
          </a:prstGeom>
          <a:noFill/>
          <a:ln w="190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1" name="Line 4628">
            <a:extLst>
              <a:ext uri="{FF2B5EF4-FFF2-40B4-BE49-F238E27FC236}">
                <a16:creationId xmlns:a16="http://schemas.microsoft.com/office/drawing/2014/main" id="{00000000-0008-0000-0000-000029000000}"/>
              </a:ext>
            </a:extLst>
          </xdr:cNvPr>
          <xdr:cNvSpPr>
            <a:spLocks noChangeAspect="1" noChangeShapeType="1"/>
          </xdr:cNvSpPr>
        </xdr:nvSpPr>
        <xdr:spPr bwMode="auto">
          <a:xfrm rot="16200000" flipV="1">
            <a:off x="985" y="757"/>
            <a:ext cx="22" cy="6"/>
          </a:xfrm>
          <a:prstGeom prst="line">
            <a:avLst/>
          </a:prstGeom>
          <a:noFill/>
          <a:ln w="190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2" name="Line 4629">
            <a:extLst>
              <a:ext uri="{FF2B5EF4-FFF2-40B4-BE49-F238E27FC236}">
                <a16:creationId xmlns:a16="http://schemas.microsoft.com/office/drawing/2014/main" id="{00000000-0008-0000-0000-00002A000000}"/>
              </a:ext>
            </a:extLst>
          </xdr:cNvPr>
          <xdr:cNvSpPr>
            <a:spLocks noChangeAspect="1" noChangeShapeType="1"/>
          </xdr:cNvSpPr>
        </xdr:nvSpPr>
        <xdr:spPr bwMode="auto">
          <a:xfrm rot="-5400000">
            <a:off x="979" y="757"/>
            <a:ext cx="22" cy="5"/>
          </a:xfrm>
          <a:prstGeom prst="line">
            <a:avLst/>
          </a:prstGeom>
          <a:noFill/>
          <a:ln w="190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3" name="Line 4630">
            <a:extLst>
              <a:ext uri="{FF2B5EF4-FFF2-40B4-BE49-F238E27FC236}">
                <a16:creationId xmlns:a16="http://schemas.microsoft.com/office/drawing/2014/main" id="{00000000-0008-0000-0000-00002B000000}"/>
              </a:ext>
            </a:extLst>
          </xdr:cNvPr>
          <xdr:cNvSpPr>
            <a:spLocks noChangeAspect="1" noChangeShapeType="1"/>
          </xdr:cNvSpPr>
        </xdr:nvSpPr>
        <xdr:spPr bwMode="auto">
          <a:xfrm rot="16200000" flipV="1">
            <a:off x="973" y="757"/>
            <a:ext cx="22" cy="6"/>
          </a:xfrm>
          <a:prstGeom prst="line">
            <a:avLst/>
          </a:prstGeom>
          <a:noFill/>
          <a:ln w="190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4" name="Line 4631">
            <a:extLst>
              <a:ext uri="{FF2B5EF4-FFF2-40B4-BE49-F238E27FC236}">
                <a16:creationId xmlns:a16="http://schemas.microsoft.com/office/drawing/2014/main" id="{00000000-0008-0000-0000-00002C000000}"/>
              </a:ext>
            </a:extLst>
          </xdr:cNvPr>
          <xdr:cNvSpPr>
            <a:spLocks noChangeAspect="1" noChangeShapeType="1"/>
          </xdr:cNvSpPr>
        </xdr:nvSpPr>
        <xdr:spPr bwMode="auto">
          <a:xfrm rot="-5400000">
            <a:off x="974" y="753"/>
            <a:ext cx="11" cy="3"/>
          </a:xfrm>
          <a:prstGeom prst="line">
            <a:avLst/>
          </a:prstGeom>
          <a:noFill/>
          <a:ln w="190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5" name="Line 4632">
            <a:extLst>
              <a:ext uri="{FF2B5EF4-FFF2-40B4-BE49-F238E27FC236}">
                <a16:creationId xmlns:a16="http://schemas.microsoft.com/office/drawing/2014/main" id="{00000000-0008-0000-0000-00002D000000}"/>
              </a:ext>
            </a:extLst>
          </xdr:cNvPr>
          <xdr:cNvSpPr>
            <a:spLocks noChangeAspect="1" noChangeShapeType="1"/>
          </xdr:cNvSpPr>
        </xdr:nvSpPr>
        <xdr:spPr bwMode="auto">
          <a:xfrm rot="-5400000">
            <a:off x="1020" y="753"/>
            <a:ext cx="0" cy="14"/>
          </a:xfrm>
          <a:prstGeom prst="line">
            <a:avLst/>
          </a:prstGeom>
          <a:noFill/>
          <a:ln w="190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6" name="Line 4633">
            <a:extLst>
              <a:ext uri="{FF2B5EF4-FFF2-40B4-BE49-F238E27FC236}">
                <a16:creationId xmlns:a16="http://schemas.microsoft.com/office/drawing/2014/main" id="{00000000-0008-0000-0000-00002E000000}"/>
              </a:ext>
            </a:extLst>
          </xdr:cNvPr>
          <xdr:cNvSpPr>
            <a:spLocks noChangeAspect="1" noChangeShapeType="1"/>
          </xdr:cNvSpPr>
        </xdr:nvSpPr>
        <xdr:spPr bwMode="auto">
          <a:xfrm rot="-5400000">
            <a:off x="972" y="753"/>
            <a:ext cx="0" cy="14"/>
          </a:xfrm>
          <a:prstGeom prst="line">
            <a:avLst/>
          </a:prstGeom>
          <a:noFill/>
          <a:ln w="190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20</xdr:col>
      <xdr:colOff>171450</xdr:colOff>
      <xdr:row>10</xdr:row>
      <xdr:rowOff>85725</xdr:rowOff>
    </xdr:from>
    <xdr:to>
      <xdr:col>24</xdr:col>
      <xdr:colOff>0</xdr:colOff>
      <xdr:row>11</xdr:row>
      <xdr:rowOff>104775</xdr:rowOff>
    </xdr:to>
    <xdr:grpSp>
      <xdr:nvGrpSpPr>
        <xdr:cNvPr id="47" name="Group 4624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GrpSpPr>
          <a:grpSpLocks/>
        </xdr:cNvGrpSpPr>
      </xdr:nvGrpSpPr>
      <xdr:grpSpPr bwMode="auto">
        <a:xfrm>
          <a:off x="3970867" y="1990725"/>
          <a:ext cx="590550" cy="209550"/>
          <a:chOff x="965" y="749"/>
          <a:chExt cx="62" cy="22"/>
        </a:xfrm>
      </xdr:grpSpPr>
      <xdr:sp macro="" textlink="">
        <xdr:nvSpPr>
          <xdr:cNvPr id="48" name="Line 4625">
            <a:extLst>
              <a:ext uri="{FF2B5EF4-FFF2-40B4-BE49-F238E27FC236}">
                <a16:creationId xmlns:a16="http://schemas.microsoft.com/office/drawing/2014/main" id="{00000000-0008-0000-0000-000030000000}"/>
              </a:ext>
            </a:extLst>
          </xdr:cNvPr>
          <xdr:cNvSpPr>
            <a:spLocks noChangeAspect="1" noChangeShapeType="1"/>
          </xdr:cNvSpPr>
        </xdr:nvSpPr>
        <xdr:spPr bwMode="auto">
          <a:xfrm rot="-5400000">
            <a:off x="1006" y="764"/>
            <a:ext cx="11" cy="3"/>
          </a:xfrm>
          <a:prstGeom prst="line">
            <a:avLst/>
          </a:prstGeom>
          <a:noFill/>
          <a:ln w="190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9" name="Line 4626">
            <a:extLst>
              <a:ext uri="{FF2B5EF4-FFF2-40B4-BE49-F238E27FC236}">
                <a16:creationId xmlns:a16="http://schemas.microsoft.com/office/drawing/2014/main" id="{00000000-0008-0000-0000-000031000000}"/>
              </a:ext>
            </a:extLst>
          </xdr:cNvPr>
          <xdr:cNvSpPr>
            <a:spLocks noChangeAspect="1" noChangeShapeType="1"/>
          </xdr:cNvSpPr>
        </xdr:nvSpPr>
        <xdr:spPr bwMode="auto">
          <a:xfrm rot="16200000" flipV="1">
            <a:off x="996" y="757"/>
            <a:ext cx="22" cy="6"/>
          </a:xfrm>
          <a:prstGeom prst="line">
            <a:avLst/>
          </a:prstGeom>
          <a:noFill/>
          <a:ln w="190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0" name="Line 4627">
            <a:extLst>
              <a:ext uri="{FF2B5EF4-FFF2-40B4-BE49-F238E27FC236}">
                <a16:creationId xmlns:a16="http://schemas.microsoft.com/office/drawing/2014/main" id="{00000000-0008-0000-0000-000032000000}"/>
              </a:ext>
            </a:extLst>
          </xdr:cNvPr>
          <xdr:cNvSpPr>
            <a:spLocks noChangeAspect="1" noChangeShapeType="1"/>
          </xdr:cNvSpPr>
        </xdr:nvSpPr>
        <xdr:spPr bwMode="auto">
          <a:xfrm rot="-5400000">
            <a:off x="990" y="757"/>
            <a:ext cx="22" cy="5"/>
          </a:xfrm>
          <a:prstGeom prst="line">
            <a:avLst/>
          </a:prstGeom>
          <a:noFill/>
          <a:ln w="190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1" name="Line 4628">
            <a:extLst>
              <a:ext uri="{FF2B5EF4-FFF2-40B4-BE49-F238E27FC236}">
                <a16:creationId xmlns:a16="http://schemas.microsoft.com/office/drawing/2014/main" id="{00000000-0008-0000-0000-000033000000}"/>
              </a:ext>
            </a:extLst>
          </xdr:cNvPr>
          <xdr:cNvSpPr>
            <a:spLocks noChangeAspect="1" noChangeShapeType="1"/>
          </xdr:cNvSpPr>
        </xdr:nvSpPr>
        <xdr:spPr bwMode="auto">
          <a:xfrm rot="16200000" flipV="1">
            <a:off x="985" y="757"/>
            <a:ext cx="22" cy="6"/>
          </a:xfrm>
          <a:prstGeom prst="line">
            <a:avLst/>
          </a:prstGeom>
          <a:noFill/>
          <a:ln w="190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2" name="Line 4629">
            <a:extLst>
              <a:ext uri="{FF2B5EF4-FFF2-40B4-BE49-F238E27FC236}">
                <a16:creationId xmlns:a16="http://schemas.microsoft.com/office/drawing/2014/main" id="{00000000-0008-0000-0000-000034000000}"/>
              </a:ext>
            </a:extLst>
          </xdr:cNvPr>
          <xdr:cNvSpPr>
            <a:spLocks noChangeAspect="1" noChangeShapeType="1"/>
          </xdr:cNvSpPr>
        </xdr:nvSpPr>
        <xdr:spPr bwMode="auto">
          <a:xfrm rot="-5400000">
            <a:off x="979" y="757"/>
            <a:ext cx="22" cy="5"/>
          </a:xfrm>
          <a:prstGeom prst="line">
            <a:avLst/>
          </a:prstGeom>
          <a:noFill/>
          <a:ln w="190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3" name="Line 4630">
            <a:extLst>
              <a:ext uri="{FF2B5EF4-FFF2-40B4-BE49-F238E27FC236}">
                <a16:creationId xmlns:a16="http://schemas.microsoft.com/office/drawing/2014/main" id="{00000000-0008-0000-0000-000035000000}"/>
              </a:ext>
            </a:extLst>
          </xdr:cNvPr>
          <xdr:cNvSpPr>
            <a:spLocks noChangeAspect="1" noChangeShapeType="1"/>
          </xdr:cNvSpPr>
        </xdr:nvSpPr>
        <xdr:spPr bwMode="auto">
          <a:xfrm rot="16200000" flipV="1">
            <a:off x="973" y="757"/>
            <a:ext cx="22" cy="6"/>
          </a:xfrm>
          <a:prstGeom prst="line">
            <a:avLst/>
          </a:prstGeom>
          <a:noFill/>
          <a:ln w="190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4" name="Line 4631">
            <a:extLst>
              <a:ext uri="{FF2B5EF4-FFF2-40B4-BE49-F238E27FC236}">
                <a16:creationId xmlns:a16="http://schemas.microsoft.com/office/drawing/2014/main" id="{00000000-0008-0000-0000-000036000000}"/>
              </a:ext>
            </a:extLst>
          </xdr:cNvPr>
          <xdr:cNvSpPr>
            <a:spLocks noChangeAspect="1" noChangeShapeType="1"/>
          </xdr:cNvSpPr>
        </xdr:nvSpPr>
        <xdr:spPr bwMode="auto">
          <a:xfrm rot="-5400000">
            <a:off x="974" y="753"/>
            <a:ext cx="11" cy="3"/>
          </a:xfrm>
          <a:prstGeom prst="line">
            <a:avLst/>
          </a:prstGeom>
          <a:noFill/>
          <a:ln w="190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5" name="Line 4632">
            <a:extLst>
              <a:ext uri="{FF2B5EF4-FFF2-40B4-BE49-F238E27FC236}">
                <a16:creationId xmlns:a16="http://schemas.microsoft.com/office/drawing/2014/main" id="{00000000-0008-0000-0000-000037000000}"/>
              </a:ext>
            </a:extLst>
          </xdr:cNvPr>
          <xdr:cNvSpPr>
            <a:spLocks noChangeAspect="1" noChangeShapeType="1"/>
          </xdr:cNvSpPr>
        </xdr:nvSpPr>
        <xdr:spPr bwMode="auto">
          <a:xfrm rot="-5400000">
            <a:off x="1020" y="753"/>
            <a:ext cx="0" cy="14"/>
          </a:xfrm>
          <a:prstGeom prst="line">
            <a:avLst/>
          </a:prstGeom>
          <a:noFill/>
          <a:ln w="190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6" name="Line 4633">
            <a:extLst>
              <a:ext uri="{FF2B5EF4-FFF2-40B4-BE49-F238E27FC236}">
                <a16:creationId xmlns:a16="http://schemas.microsoft.com/office/drawing/2014/main" id="{00000000-0008-0000-0000-000038000000}"/>
              </a:ext>
            </a:extLst>
          </xdr:cNvPr>
          <xdr:cNvSpPr>
            <a:spLocks noChangeAspect="1" noChangeShapeType="1"/>
          </xdr:cNvSpPr>
        </xdr:nvSpPr>
        <xdr:spPr bwMode="auto">
          <a:xfrm rot="-5400000">
            <a:off x="972" y="753"/>
            <a:ext cx="0" cy="14"/>
          </a:xfrm>
          <a:prstGeom prst="line">
            <a:avLst/>
          </a:prstGeom>
          <a:noFill/>
          <a:ln w="190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7</xdr:col>
      <xdr:colOff>19050</xdr:colOff>
      <xdr:row>6</xdr:row>
      <xdr:rowOff>95250</xdr:rowOff>
    </xdr:from>
    <xdr:to>
      <xdr:col>10</xdr:col>
      <xdr:colOff>0</xdr:colOff>
      <xdr:row>9</xdr:row>
      <xdr:rowOff>28575</xdr:rowOff>
    </xdr:to>
    <xdr:grpSp>
      <xdr:nvGrpSpPr>
        <xdr:cNvPr id="57" name="Group 357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GrpSpPr>
          <a:grpSpLocks/>
        </xdr:cNvGrpSpPr>
      </xdr:nvGrpSpPr>
      <xdr:grpSpPr bwMode="auto">
        <a:xfrm>
          <a:off x="1352550" y="1238250"/>
          <a:ext cx="541867" cy="504825"/>
          <a:chOff x="1061" y="1939"/>
          <a:chExt cx="80" cy="39"/>
        </a:xfrm>
      </xdr:grpSpPr>
      <xdr:sp macro="" textlink="">
        <xdr:nvSpPr>
          <xdr:cNvPr id="58" name="Arc 3573">
            <a:extLst>
              <a:ext uri="{FF2B5EF4-FFF2-40B4-BE49-F238E27FC236}">
                <a16:creationId xmlns:a16="http://schemas.microsoft.com/office/drawing/2014/main" id="{00000000-0008-0000-0000-00003A000000}"/>
              </a:ext>
            </a:extLst>
          </xdr:cNvPr>
          <xdr:cNvSpPr>
            <a:spLocks noChangeAspect="1"/>
          </xdr:cNvSpPr>
        </xdr:nvSpPr>
        <xdr:spPr bwMode="auto">
          <a:xfrm flipH="1">
            <a:off x="1106" y="1939"/>
            <a:ext cx="35" cy="39"/>
          </a:xfrm>
          <a:custGeom>
            <a:avLst/>
            <a:gdLst>
              <a:gd name="T0" fmla="*/ 0 w 43200"/>
              <a:gd name="T1" fmla="*/ 0 h 38263"/>
              <a:gd name="T2" fmla="*/ 0 w 43200"/>
              <a:gd name="T3" fmla="*/ 0 h 38263"/>
              <a:gd name="T4" fmla="*/ 0 w 43200"/>
              <a:gd name="T5" fmla="*/ 0 h 38263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43200" h="38263" fill="none" extrusionOk="0">
                <a:moveTo>
                  <a:pt x="26" y="22673"/>
                </a:moveTo>
                <a:cubicBezTo>
                  <a:pt x="8" y="22315"/>
                  <a:pt x="0" y="21957"/>
                  <a:pt x="0" y="21600"/>
                </a:cubicBezTo>
                <a:cubicBezTo>
                  <a:pt x="0" y="9670"/>
                  <a:pt x="9670" y="0"/>
                  <a:pt x="21600" y="0"/>
                </a:cubicBezTo>
                <a:cubicBezTo>
                  <a:pt x="33529" y="0"/>
                  <a:pt x="43200" y="9670"/>
                  <a:pt x="43200" y="21600"/>
                </a:cubicBezTo>
                <a:cubicBezTo>
                  <a:pt x="43200" y="28048"/>
                  <a:pt x="40318" y="34159"/>
                  <a:pt x="35344" y="38263"/>
                </a:cubicBezTo>
              </a:path>
              <a:path w="43200" h="38263" stroke="0" extrusionOk="0">
                <a:moveTo>
                  <a:pt x="26" y="22673"/>
                </a:moveTo>
                <a:cubicBezTo>
                  <a:pt x="8" y="22315"/>
                  <a:pt x="0" y="21957"/>
                  <a:pt x="0" y="21600"/>
                </a:cubicBezTo>
                <a:cubicBezTo>
                  <a:pt x="0" y="9670"/>
                  <a:pt x="9670" y="0"/>
                  <a:pt x="21600" y="0"/>
                </a:cubicBezTo>
                <a:cubicBezTo>
                  <a:pt x="33529" y="0"/>
                  <a:pt x="43200" y="9670"/>
                  <a:pt x="43200" y="21600"/>
                </a:cubicBezTo>
                <a:cubicBezTo>
                  <a:pt x="43200" y="28048"/>
                  <a:pt x="40318" y="34159"/>
                  <a:pt x="35344" y="38263"/>
                </a:cubicBezTo>
                <a:lnTo>
                  <a:pt x="21600" y="21600"/>
                </a:lnTo>
                <a:lnTo>
                  <a:pt x="26" y="22673"/>
                </a:lnTo>
                <a:close/>
              </a:path>
            </a:pathLst>
          </a:custGeom>
          <a:noFill/>
          <a:ln w="190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CCCCFF" mc:Ignorable="a14" a14:legacySpreadsheetColorIndex="31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59" name="Arc 3574">
            <a:extLst>
              <a:ext uri="{FF2B5EF4-FFF2-40B4-BE49-F238E27FC236}">
                <a16:creationId xmlns:a16="http://schemas.microsoft.com/office/drawing/2014/main" id="{00000000-0008-0000-0000-00003B000000}"/>
              </a:ext>
            </a:extLst>
          </xdr:cNvPr>
          <xdr:cNvSpPr>
            <a:spLocks noChangeAspect="1"/>
          </xdr:cNvSpPr>
        </xdr:nvSpPr>
        <xdr:spPr bwMode="auto">
          <a:xfrm>
            <a:off x="1085" y="1939"/>
            <a:ext cx="34" cy="39"/>
          </a:xfrm>
          <a:custGeom>
            <a:avLst/>
            <a:gdLst>
              <a:gd name="T0" fmla="*/ 0 w 43200"/>
              <a:gd name="T1" fmla="*/ 0 h 38440"/>
              <a:gd name="T2" fmla="*/ 0 w 43200"/>
              <a:gd name="T3" fmla="*/ 0 h 38440"/>
              <a:gd name="T4" fmla="*/ 0 w 43200"/>
              <a:gd name="T5" fmla="*/ 0 h 3844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43200" h="38440" fill="none" extrusionOk="0">
                <a:moveTo>
                  <a:pt x="8070" y="38438"/>
                </a:moveTo>
                <a:cubicBezTo>
                  <a:pt x="2968" y="34338"/>
                  <a:pt x="0" y="28145"/>
                  <a:pt x="0" y="21600"/>
                </a:cubicBezTo>
                <a:cubicBezTo>
                  <a:pt x="0" y="9670"/>
                  <a:pt x="9670" y="0"/>
                  <a:pt x="21600" y="0"/>
                </a:cubicBezTo>
                <a:cubicBezTo>
                  <a:pt x="33529" y="0"/>
                  <a:pt x="43200" y="9670"/>
                  <a:pt x="43200" y="21600"/>
                </a:cubicBezTo>
                <a:cubicBezTo>
                  <a:pt x="43200" y="28146"/>
                  <a:pt x="40230" y="34340"/>
                  <a:pt x="35126" y="38439"/>
                </a:cubicBezTo>
              </a:path>
              <a:path w="43200" h="38440" stroke="0" extrusionOk="0">
                <a:moveTo>
                  <a:pt x="8070" y="38438"/>
                </a:moveTo>
                <a:cubicBezTo>
                  <a:pt x="2968" y="34338"/>
                  <a:pt x="0" y="28145"/>
                  <a:pt x="0" y="21600"/>
                </a:cubicBezTo>
                <a:cubicBezTo>
                  <a:pt x="0" y="9670"/>
                  <a:pt x="9670" y="0"/>
                  <a:pt x="21600" y="0"/>
                </a:cubicBezTo>
                <a:cubicBezTo>
                  <a:pt x="33529" y="0"/>
                  <a:pt x="43200" y="9670"/>
                  <a:pt x="43200" y="21600"/>
                </a:cubicBezTo>
                <a:cubicBezTo>
                  <a:pt x="43200" y="28146"/>
                  <a:pt x="40230" y="34340"/>
                  <a:pt x="35126" y="38439"/>
                </a:cubicBezTo>
                <a:lnTo>
                  <a:pt x="21600" y="21600"/>
                </a:lnTo>
                <a:lnTo>
                  <a:pt x="8070" y="38438"/>
                </a:lnTo>
                <a:close/>
              </a:path>
            </a:pathLst>
          </a:custGeom>
          <a:noFill/>
          <a:ln w="190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CCCCFF" mc:Ignorable="a14" a14:legacySpreadsheetColorIndex="31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60" name="Arc 3575">
            <a:extLst>
              <a:ext uri="{FF2B5EF4-FFF2-40B4-BE49-F238E27FC236}">
                <a16:creationId xmlns:a16="http://schemas.microsoft.com/office/drawing/2014/main" id="{00000000-0008-0000-0000-00003C000000}"/>
              </a:ext>
            </a:extLst>
          </xdr:cNvPr>
          <xdr:cNvSpPr>
            <a:spLocks noChangeAspect="1"/>
          </xdr:cNvSpPr>
        </xdr:nvSpPr>
        <xdr:spPr bwMode="auto">
          <a:xfrm>
            <a:off x="1061" y="1939"/>
            <a:ext cx="35" cy="39"/>
          </a:xfrm>
          <a:custGeom>
            <a:avLst/>
            <a:gdLst>
              <a:gd name="T0" fmla="*/ 0 w 43200"/>
              <a:gd name="T1" fmla="*/ 0 h 38263"/>
              <a:gd name="T2" fmla="*/ 0 w 43200"/>
              <a:gd name="T3" fmla="*/ 0 h 38263"/>
              <a:gd name="T4" fmla="*/ 0 w 43200"/>
              <a:gd name="T5" fmla="*/ 0 h 38263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43200" h="38263" fill="none" extrusionOk="0">
                <a:moveTo>
                  <a:pt x="26" y="22673"/>
                </a:moveTo>
                <a:cubicBezTo>
                  <a:pt x="8" y="22315"/>
                  <a:pt x="0" y="21957"/>
                  <a:pt x="0" y="21600"/>
                </a:cubicBezTo>
                <a:cubicBezTo>
                  <a:pt x="0" y="9670"/>
                  <a:pt x="9670" y="0"/>
                  <a:pt x="21600" y="0"/>
                </a:cubicBezTo>
                <a:cubicBezTo>
                  <a:pt x="33529" y="0"/>
                  <a:pt x="43200" y="9670"/>
                  <a:pt x="43200" y="21600"/>
                </a:cubicBezTo>
                <a:cubicBezTo>
                  <a:pt x="43200" y="28048"/>
                  <a:pt x="40318" y="34159"/>
                  <a:pt x="35344" y="38263"/>
                </a:cubicBezTo>
              </a:path>
              <a:path w="43200" h="38263" stroke="0" extrusionOk="0">
                <a:moveTo>
                  <a:pt x="26" y="22673"/>
                </a:moveTo>
                <a:cubicBezTo>
                  <a:pt x="8" y="22315"/>
                  <a:pt x="0" y="21957"/>
                  <a:pt x="0" y="21600"/>
                </a:cubicBezTo>
                <a:cubicBezTo>
                  <a:pt x="0" y="9670"/>
                  <a:pt x="9670" y="0"/>
                  <a:pt x="21600" y="0"/>
                </a:cubicBezTo>
                <a:cubicBezTo>
                  <a:pt x="33529" y="0"/>
                  <a:pt x="43200" y="9670"/>
                  <a:pt x="43200" y="21600"/>
                </a:cubicBezTo>
                <a:cubicBezTo>
                  <a:pt x="43200" y="28048"/>
                  <a:pt x="40318" y="34159"/>
                  <a:pt x="35344" y="38263"/>
                </a:cubicBezTo>
                <a:lnTo>
                  <a:pt x="21600" y="21600"/>
                </a:lnTo>
                <a:lnTo>
                  <a:pt x="26" y="22673"/>
                </a:lnTo>
                <a:close/>
              </a:path>
            </a:pathLst>
          </a:custGeom>
          <a:noFill/>
          <a:ln w="190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CCCCFF" mc:Ignorable="a14" a14:legacySpreadsheetColorIndex="31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/>
  </xdr:twoCellAnchor>
  <xdr:twoCellAnchor>
    <xdr:from>
      <xdr:col>29</xdr:col>
      <xdr:colOff>133350</xdr:colOff>
      <xdr:row>26</xdr:row>
      <xdr:rowOff>152400</xdr:rowOff>
    </xdr:from>
    <xdr:to>
      <xdr:col>30</xdr:col>
      <xdr:colOff>28575</xdr:colOff>
      <xdr:row>27</xdr:row>
      <xdr:rowOff>47625</xdr:rowOff>
    </xdr:to>
    <xdr:sp macro="" textlink="">
      <xdr:nvSpPr>
        <xdr:cNvPr id="61" name="Oval 400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Arrowheads="1"/>
        </xdr:cNvSpPr>
      </xdr:nvSpPr>
      <xdr:spPr bwMode="auto">
        <a:xfrm>
          <a:off x="5648325" y="5105400"/>
          <a:ext cx="85725" cy="8572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13</xdr:col>
      <xdr:colOff>161925</xdr:colOff>
      <xdr:row>7</xdr:row>
      <xdr:rowOff>179917</xdr:rowOff>
    </xdr:from>
    <xdr:to>
      <xdr:col>15</xdr:col>
      <xdr:colOff>0</xdr:colOff>
      <xdr:row>10</xdr:row>
      <xdr:rowOff>160867</xdr:rowOff>
    </xdr:to>
    <xdr:sp macro="" textlink="">
      <xdr:nvSpPr>
        <xdr:cNvPr id="62" name="Freeform 382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/>
        </xdr:cNvSpPr>
      </xdr:nvSpPr>
      <xdr:spPr bwMode="auto">
        <a:xfrm>
          <a:off x="2627842" y="1513417"/>
          <a:ext cx="219075" cy="552450"/>
        </a:xfrm>
        <a:custGeom>
          <a:avLst/>
          <a:gdLst>
            <a:gd name="T0" fmla="*/ 0 w 160"/>
            <a:gd name="T1" fmla="*/ 0 h 84"/>
            <a:gd name="T2" fmla="*/ 2147483647 w 160"/>
            <a:gd name="T3" fmla="*/ 0 h 84"/>
            <a:gd name="T4" fmla="*/ 2147483647 w 160"/>
            <a:gd name="T5" fmla="*/ 2147483647 h 84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160" h="84">
              <a:moveTo>
                <a:pt x="0" y="0"/>
              </a:moveTo>
              <a:lnTo>
                <a:pt x="160" y="0"/>
              </a:lnTo>
              <a:lnTo>
                <a:pt x="160" y="84"/>
              </a:lnTo>
            </a:path>
          </a:pathLst>
        </a:custGeom>
        <a:noFill/>
        <a:ln w="19050" cap="flat" cmpd="sng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0</xdr:colOff>
      <xdr:row>8</xdr:row>
      <xdr:rowOff>0</xdr:rowOff>
    </xdr:from>
    <xdr:to>
      <xdr:col>7</xdr:col>
      <xdr:colOff>0</xdr:colOff>
      <xdr:row>10</xdr:row>
      <xdr:rowOff>171450</xdr:rowOff>
    </xdr:to>
    <xdr:sp macro="" textlink="">
      <xdr:nvSpPr>
        <xdr:cNvPr id="63" name="Freeform 3821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/>
        </xdr:cNvSpPr>
      </xdr:nvSpPr>
      <xdr:spPr bwMode="auto">
        <a:xfrm flipH="1">
          <a:off x="952500" y="1524000"/>
          <a:ext cx="381000" cy="552450"/>
        </a:xfrm>
        <a:custGeom>
          <a:avLst/>
          <a:gdLst>
            <a:gd name="T0" fmla="*/ 0 w 160"/>
            <a:gd name="T1" fmla="*/ 0 h 84"/>
            <a:gd name="T2" fmla="*/ 2147483647 w 160"/>
            <a:gd name="T3" fmla="*/ 0 h 84"/>
            <a:gd name="T4" fmla="*/ 2147483647 w 160"/>
            <a:gd name="T5" fmla="*/ 2147483647 h 84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160" h="84">
              <a:moveTo>
                <a:pt x="0" y="0"/>
              </a:moveTo>
              <a:lnTo>
                <a:pt x="160" y="0"/>
              </a:lnTo>
              <a:lnTo>
                <a:pt x="160" y="84"/>
              </a:lnTo>
            </a:path>
          </a:pathLst>
        </a:custGeom>
        <a:noFill/>
        <a:ln w="19050" cap="flat" cmpd="sng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23</xdr:col>
      <xdr:colOff>142875</xdr:colOff>
      <xdr:row>8</xdr:row>
      <xdr:rowOff>0</xdr:rowOff>
    </xdr:from>
    <xdr:to>
      <xdr:col>25</xdr:col>
      <xdr:colOff>19050</xdr:colOff>
      <xdr:row>10</xdr:row>
      <xdr:rowOff>171450</xdr:rowOff>
    </xdr:to>
    <xdr:sp macro="" textlink="">
      <xdr:nvSpPr>
        <xdr:cNvPr id="64" name="Freeform 3821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/>
        </xdr:cNvSpPr>
      </xdr:nvSpPr>
      <xdr:spPr bwMode="auto">
        <a:xfrm>
          <a:off x="4514850" y="1524000"/>
          <a:ext cx="257175" cy="552450"/>
        </a:xfrm>
        <a:custGeom>
          <a:avLst/>
          <a:gdLst>
            <a:gd name="T0" fmla="*/ 0 w 160"/>
            <a:gd name="T1" fmla="*/ 0 h 84"/>
            <a:gd name="T2" fmla="*/ 2147483647 w 160"/>
            <a:gd name="T3" fmla="*/ 0 h 84"/>
            <a:gd name="T4" fmla="*/ 2147483647 w 160"/>
            <a:gd name="T5" fmla="*/ 2147483647 h 84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160" h="84">
              <a:moveTo>
                <a:pt x="0" y="0"/>
              </a:moveTo>
              <a:lnTo>
                <a:pt x="160" y="0"/>
              </a:lnTo>
              <a:lnTo>
                <a:pt x="160" y="84"/>
              </a:lnTo>
            </a:path>
          </a:pathLst>
        </a:custGeom>
        <a:noFill/>
        <a:ln w="19050" cap="flat" cmpd="sng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8</xdr:col>
      <xdr:colOff>123825</xdr:colOff>
      <xdr:row>11</xdr:row>
      <xdr:rowOff>0</xdr:rowOff>
    </xdr:from>
    <xdr:to>
      <xdr:col>11</xdr:col>
      <xdr:colOff>19050</xdr:colOff>
      <xdr:row>11</xdr:row>
      <xdr:rowOff>0</xdr:rowOff>
    </xdr:to>
    <xdr:sp macro="" textlink="">
      <xdr:nvSpPr>
        <xdr:cNvPr id="65" name="Line 2250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ShapeType="1"/>
        </xdr:cNvSpPr>
      </xdr:nvSpPr>
      <xdr:spPr bwMode="auto">
        <a:xfrm>
          <a:off x="1647825" y="2095500"/>
          <a:ext cx="45720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142875</xdr:colOff>
      <xdr:row>11</xdr:row>
      <xdr:rowOff>0</xdr:rowOff>
    </xdr:from>
    <xdr:to>
      <xdr:col>16</xdr:col>
      <xdr:colOff>38100</xdr:colOff>
      <xdr:row>11</xdr:row>
      <xdr:rowOff>0</xdr:rowOff>
    </xdr:to>
    <xdr:sp macro="" textlink="">
      <xdr:nvSpPr>
        <xdr:cNvPr id="66" name="Line 2250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ShapeType="1"/>
        </xdr:cNvSpPr>
      </xdr:nvSpPr>
      <xdr:spPr bwMode="auto">
        <a:xfrm>
          <a:off x="2609850" y="2095500"/>
          <a:ext cx="466725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104775</xdr:colOff>
      <xdr:row>11</xdr:row>
      <xdr:rowOff>0</xdr:rowOff>
    </xdr:from>
    <xdr:to>
      <xdr:col>21</xdr:col>
      <xdr:colOff>0</xdr:colOff>
      <xdr:row>11</xdr:row>
      <xdr:rowOff>0</xdr:rowOff>
    </xdr:to>
    <xdr:sp macro="" textlink="">
      <xdr:nvSpPr>
        <xdr:cNvPr id="67" name="Line 2250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ShapeType="1"/>
        </xdr:cNvSpPr>
      </xdr:nvSpPr>
      <xdr:spPr bwMode="auto">
        <a:xfrm>
          <a:off x="3524250" y="2095500"/>
          <a:ext cx="466725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180975</xdr:colOff>
      <xdr:row>8</xdr:row>
      <xdr:rowOff>0</xdr:rowOff>
    </xdr:from>
    <xdr:to>
      <xdr:col>17</xdr:col>
      <xdr:colOff>76200</xdr:colOff>
      <xdr:row>8</xdr:row>
      <xdr:rowOff>0</xdr:rowOff>
    </xdr:to>
    <xdr:sp macro="" textlink="">
      <xdr:nvSpPr>
        <xdr:cNvPr id="68" name="Line 2250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ShapeType="1"/>
        </xdr:cNvSpPr>
      </xdr:nvSpPr>
      <xdr:spPr bwMode="auto">
        <a:xfrm>
          <a:off x="2838450" y="1524000"/>
          <a:ext cx="466725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24</xdr:col>
      <xdr:colOff>180975</xdr:colOff>
      <xdr:row>10</xdr:row>
      <xdr:rowOff>142875</xdr:rowOff>
    </xdr:from>
    <xdr:to>
      <xdr:col>25</xdr:col>
      <xdr:colOff>76200</xdr:colOff>
      <xdr:row>11</xdr:row>
      <xdr:rowOff>38100</xdr:rowOff>
    </xdr:to>
    <xdr:sp macro="" textlink="">
      <xdr:nvSpPr>
        <xdr:cNvPr id="69" name="Oval 4848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Arrowheads="1"/>
        </xdr:cNvSpPr>
      </xdr:nvSpPr>
      <xdr:spPr bwMode="auto">
        <a:xfrm>
          <a:off x="4743450" y="2047875"/>
          <a:ext cx="85725" cy="8572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14</xdr:col>
      <xdr:colOff>161925</xdr:colOff>
      <xdr:row>10</xdr:row>
      <xdr:rowOff>142875</xdr:rowOff>
    </xdr:from>
    <xdr:to>
      <xdr:col>15</xdr:col>
      <xdr:colOff>57150</xdr:colOff>
      <xdr:row>11</xdr:row>
      <xdr:rowOff>38100</xdr:rowOff>
    </xdr:to>
    <xdr:sp macro="" textlink="">
      <xdr:nvSpPr>
        <xdr:cNvPr id="70" name="Oval 4848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Arrowheads="1"/>
        </xdr:cNvSpPr>
      </xdr:nvSpPr>
      <xdr:spPr bwMode="auto">
        <a:xfrm>
          <a:off x="2819400" y="2047875"/>
          <a:ext cx="85725" cy="8572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14</xdr:col>
      <xdr:colOff>142875</xdr:colOff>
      <xdr:row>7</xdr:row>
      <xdr:rowOff>142875</xdr:rowOff>
    </xdr:from>
    <xdr:to>
      <xdr:col>15</xdr:col>
      <xdr:colOff>38100</xdr:colOff>
      <xdr:row>8</xdr:row>
      <xdr:rowOff>38100</xdr:rowOff>
    </xdr:to>
    <xdr:sp macro="" textlink="">
      <xdr:nvSpPr>
        <xdr:cNvPr id="71" name="Oval 4848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Arrowheads="1"/>
        </xdr:cNvSpPr>
      </xdr:nvSpPr>
      <xdr:spPr bwMode="auto">
        <a:xfrm>
          <a:off x="2800350" y="1476375"/>
          <a:ext cx="85725" cy="8572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4</xdr:col>
      <xdr:colOff>142875</xdr:colOff>
      <xdr:row>10</xdr:row>
      <xdr:rowOff>142875</xdr:rowOff>
    </xdr:from>
    <xdr:to>
      <xdr:col>5</xdr:col>
      <xdr:colOff>38100</xdr:colOff>
      <xdr:row>11</xdr:row>
      <xdr:rowOff>38100</xdr:rowOff>
    </xdr:to>
    <xdr:sp macro="" textlink="">
      <xdr:nvSpPr>
        <xdr:cNvPr id="72" name="Oval 4848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Arrowheads="1"/>
        </xdr:cNvSpPr>
      </xdr:nvSpPr>
      <xdr:spPr bwMode="auto">
        <a:xfrm>
          <a:off x="904875" y="2047875"/>
          <a:ext cx="85725" cy="8572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9</xdr:col>
      <xdr:colOff>85725</xdr:colOff>
      <xdr:row>12</xdr:row>
      <xdr:rowOff>180975</xdr:rowOff>
    </xdr:from>
    <xdr:to>
      <xdr:col>10</xdr:col>
      <xdr:colOff>104775</xdr:colOff>
      <xdr:row>15</xdr:row>
      <xdr:rowOff>57150</xdr:rowOff>
    </xdr:to>
    <xdr:grpSp>
      <xdr:nvGrpSpPr>
        <xdr:cNvPr id="73" name="Group 3972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GrpSpPr>
          <a:grpSpLocks/>
        </xdr:cNvGrpSpPr>
      </xdr:nvGrpSpPr>
      <xdr:grpSpPr bwMode="auto">
        <a:xfrm>
          <a:off x="1789642" y="2466975"/>
          <a:ext cx="209550" cy="447675"/>
          <a:chOff x="1788" y="432"/>
          <a:chExt cx="22" cy="47"/>
        </a:xfrm>
      </xdr:grpSpPr>
      <xdr:sp macro="" textlink="">
        <xdr:nvSpPr>
          <xdr:cNvPr id="74" name="Line 3973">
            <a:extLst>
              <a:ext uri="{FF2B5EF4-FFF2-40B4-BE49-F238E27FC236}">
                <a16:creationId xmlns:a16="http://schemas.microsoft.com/office/drawing/2014/main" id="{00000000-0008-0000-0000-00004A000000}"/>
              </a:ext>
            </a:extLst>
          </xdr:cNvPr>
          <xdr:cNvSpPr>
            <a:spLocks noChangeAspect="1" noChangeShapeType="1"/>
          </xdr:cNvSpPr>
        </xdr:nvSpPr>
        <xdr:spPr bwMode="auto">
          <a:xfrm rot="10800000">
            <a:off x="1799" y="445"/>
            <a:ext cx="11" cy="3"/>
          </a:xfrm>
          <a:prstGeom prst="line">
            <a:avLst/>
          </a:prstGeom>
          <a:noFill/>
          <a:ln w="190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5" name="Line 3974">
            <a:extLst>
              <a:ext uri="{FF2B5EF4-FFF2-40B4-BE49-F238E27FC236}">
                <a16:creationId xmlns:a16="http://schemas.microsoft.com/office/drawing/2014/main" id="{00000000-0008-0000-0000-00004B000000}"/>
              </a:ext>
            </a:extLst>
          </xdr:cNvPr>
          <xdr:cNvSpPr>
            <a:spLocks noChangeAspect="1" noChangeShapeType="1"/>
          </xdr:cNvSpPr>
        </xdr:nvSpPr>
        <xdr:spPr bwMode="auto">
          <a:xfrm rot="10800000" flipV="1">
            <a:off x="1788" y="448"/>
            <a:ext cx="22" cy="6"/>
          </a:xfrm>
          <a:prstGeom prst="line">
            <a:avLst/>
          </a:prstGeom>
          <a:noFill/>
          <a:ln w="190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6" name="Line 3975">
            <a:extLst>
              <a:ext uri="{FF2B5EF4-FFF2-40B4-BE49-F238E27FC236}">
                <a16:creationId xmlns:a16="http://schemas.microsoft.com/office/drawing/2014/main" id="{00000000-0008-0000-0000-00004C000000}"/>
              </a:ext>
            </a:extLst>
          </xdr:cNvPr>
          <xdr:cNvSpPr>
            <a:spLocks noChangeAspect="1" noChangeShapeType="1"/>
          </xdr:cNvSpPr>
        </xdr:nvSpPr>
        <xdr:spPr bwMode="auto">
          <a:xfrm rot="10800000">
            <a:off x="1788" y="454"/>
            <a:ext cx="22" cy="5"/>
          </a:xfrm>
          <a:prstGeom prst="line">
            <a:avLst/>
          </a:prstGeom>
          <a:noFill/>
          <a:ln w="190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7" name="Line 3976">
            <a:extLst>
              <a:ext uri="{FF2B5EF4-FFF2-40B4-BE49-F238E27FC236}">
                <a16:creationId xmlns:a16="http://schemas.microsoft.com/office/drawing/2014/main" id="{00000000-0008-0000-0000-00004D000000}"/>
              </a:ext>
            </a:extLst>
          </xdr:cNvPr>
          <xdr:cNvSpPr>
            <a:spLocks noChangeAspect="1" noChangeShapeType="1"/>
          </xdr:cNvSpPr>
        </xdr:nvSpPr>
        <xdr:spPr bwMode="auto">
          <a:xfrm rot="10800000" flipV="1">
            <a:off x="1788" y="459"/>
            <a:ext cx="22" cy="6"/>
          </a:xfrm>
          <a:prstGeom prst="line">
            <a:avLst/>
          </a:prstGeom>
          <a:noFill/>
          <a:ln w="190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8" name="Line 3977">
            <a:extLst>
              <a:ext uri="{FF2B5EF4-FFF2-40B4-BE49-F238E27FC236}">
                <a16:creationId xmlns:a16="http://schemas.microsoft.com/office/drawing/2014/main" id="{00000000-0008-0000-0000-00004E000000}"/>
              </a:ext>
            </a:extLst>
          </xdr:cNvPr>
          <xdr:cNvSpPr>
            <a:spLocks noChangeAspect="1" noChangeShapeType="1"/>
          </xdr:cNvSpPr>
        </xdr:nvSpPr>
        <xdr:spPr bwMode="auto">
          <a:xfrm rot="10800000">
            <a:off x="1788" y="465"/>
            <a:ext cx="22" cy="5"/>
          </a:xfrm>
          <a:prstGeom prst="line">
            <a:avLst/>
          </a:prstGeom>
          <a:noFill/>
          <a:ln w="190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9" name="Line 3978">
            <a:extLst>
              <a:ext uri="{FF2B5EF4-FFF2-40B4-BE49-F238E27FC236}">
                <a16:creationId xmlns:a16="http://schemas.microsoft.com/office/drawing/2014/main" id="{00000000-0008-0000-0000-00004F000000}"/>
              </a:ext>
            </a:extLst>
          </xdr:cNvPr>
          <xdr:cNvSpPr>
            <a:spLocks noChangeAspect="1" noChangeShapeType="1"/>
          </xdr:cNvSpPr>
        </xdr:nvSpPr>
        <xdr:spPr bwMode="auto">
          <a:xfrm rot="10800000" flipV="1">
            <a:off x="1788" y="470"/>
            <a:ext cx="22" cy="6"/>
          </a:xfrm>
          <a:prstGeom prst="line">
            <a:avLst/>
          </a:prstGeom>
          <a:noFill/>
          <a:ln w="190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0" name="Line 3979">
            <a:extLst>
              <a:ext uri="{FF2B5EF4-FFF2-40B4-BE49-F238E27FC236}">
                <a16:creationId xmlns:a16="http://schemas.microsoft.com/office/drawing/2014/main" id="{00000000-0008-0000-0000-000050000000}"/>
              </a:ext>
            </a:extLst>
          </xdr:cNvPr>
          <xdr:cNvSpPr>
            <a:spLocks noChangeAspect="1" noChangeShapeType="1"/>
          </xdr:cNvSpPr>
        </xdr:nvSpPr>
        <xdr:spPr bwMode="auto">
          <a:xfrm rot="10800000">
            <a:off x="1788" y="476"/>
            <a:ext cx="11" cy="3"/>
          </a:xfrm>
          <a:prstGeom prst="line">
            <a:avLst/>
          </a:prstGeom>
          <a:noFill/>
          <a:ln w="190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1" name="Line 3980">
            <a:extLst>
              <a:ext uri="{FF2B5EF4-FFF2-40B4-BE49-F238E27FC236}">
                <a16:creationId xmlns:a16="http://schemas.microsoft.com/office/drawing/2014/main" id="{00000000-0008-0000-0000-000051000000}"/>
              </a:ext>
            </a:extLst>
          </xdr:cNvPr>
          <xdr:cNvSpPr>
            <a:spLocks noChangeAspect="1" noChangeShapeType="1"/>
          </xdr:cNvSpPr>
        </xdr:nvSpPr>
        <xdr:spPr bwMode="auto">
          <a:xfrm rot="10800000">
            <a:off x="1799" y="432"/>
            <a:ext cx="0" cy="14"/>
          </a:xfrm>
          <a:prstGeom prst="line">
            <a:avLst/>
          </a:prstGeom>
          <a:noFill/>
          <a:ln w="190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12</xdr:col>
      <xdr:colOff>85725</xdr:colOff>
      <xdr:row>20</xdr:row>
      <xdr:rowOff>66675</xdr:rowOff>
    </xdr:from>
    <xdr:to>
      <xdr:col>13</xdr:col>
      <xdr:colOff>104775</xdr:colOff>
      <xdr:row>22</xdr:row>
      <xdr:rowOff>133350</xdr:rowOff>
    </xdr:to>
    <xdr:grpSp>
      <xdr:nvGrpSpPr>
        <xdr:cNvPr id="82" name="Group 3972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GrpSpPr>
          <a:grpSpLocks/>
        </xdr:cNvGrpSpPr>
      </xdr:nvGrpSpPr>
      <xdr:grpSpPr bwMode="auto">
        <a:xfrm>
          <a:off x="2361142" y="3876675"/>
          <a:ext cx="209550" cy="447675"/>
          <a:chOff x="1788" y="432"/>
          <a:chExt cx="22" cy="47"/>
        </a:xfrm>
      </xdr:grpSpPr>
      <xdr:sp macro="" textlink="">
        <xdr:nvSpPr>
          <xdr:cNvPr id="83" name="Line 3973">
            <a:extLst>
              <a:ext uri="{FF2B5EF4-FFF2-40B4-BE49-F238E27FC236}">
                <a16:creationId xmlns:a16="http://schemas.microsoft.com/office/drawing/2014/main" id="{00000000-0008-0000-0000-000053000000}"/>
              </a:ext>
            </a:extLst>
          </xdr:cNvPr>
          <xdr:cNvSpPr>
            <a:spLocks noChangeAspect="1" noChangeShapeType="1"/>
          </xdr:cNvSpPr>
        </xdr:nvSpPr>
        <xdr:spPr bwMode="auto">
          <a:xfrm rot="10800000">
            <a:off x="1799" y="445"/>
            <a:ext cx="11" cy="3"/>
          </a:xfrm>
          <a:prstGeom prst="line">
            <a:avLst/>
          </a:prstGeom>
          <a:noFill/>
          <a:ln w="190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4" name="Line 3974">
            <a:extLst>
              <a:ext uri="{FF2B5EF4-FFF2-40B4-BE49-F238E27FC236}">
                <a16:creationId xmlns:a16="http://schemas.microsoft.com/office/drawing/2014/main" id="{00000000-0008-0000-0000-000054000000}"/>
              </a:ext>
            </a:extLst>
          </xdr:cNvPr>
          <xdr:cNvSpPr>
            <a:spLocks noChangeAspect="1" noChangeShapeType="1"/>
          </xdr:cNvSpPr>
        </xdr:nvSpPr>
        <xdr:spPr bwMode="auto">
          <a:xfrm rot="10800000" flipV="1">
            <a:off x="1788" y="448"/>
            <a:ext cx="22" cy="6"/>
          </a:xfrm>
          <a:prstGeom prst="line">
            <a:avLst/>
          </a:prstGeom>
          <a:noFill/>
          <a:ln w="190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5" name="Line 3975">
            <a:extLst>
              <a:ext uri="{FF2B5EF4-FFF2-40B4-BE49-F238E27FC236}">
                <a16:creationId xmlns:a16="http://schemas.microsoft.com/office/drawing/2014/main" id="{00000000-0008-0000-0000-000055000000}"/>
              </a:ext>
            </a:extLst>
          </xdr:cNvPr>
          <xdr:cNvSpPr>
            <a:spLocks noChangeAspect="1" noChangeShapeType="1"/>
          </xdr:cNvSpPr>
        </xdr:nvSpPr>
        <xdr:spPr bwMode="auto">
          <a:xfrm rot="10800000">
            <a:off x="1788" y="454"/>
            <a:ext cx="22" cy="5"/>
          </a:xfrm>
          <a:prstGeom prst="line">
            <a:avLst/>
          </a:prstGeom>
          <a:noFill/>
          <a:ln w="190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6" name="Line 3976">
            <a:extLst>
              <a:ext uri="{FF2B5EF4-FFF2-40B4-BE49-F238E27FC236}">
                <a16:creationId xmlns:a16="http://schemas.microsoft.com/office/drawing/2014/main" id="{00000000-0008-0000-0000-000056000000}"/>
              </a:ext>
            </a:extLst>
          </xdr:cNvPr>
          <xdr:cNvSpPr>
            <a:spLocks noChangeAspect="1" noChangeShapeType="1"/>
          </xdr:cNvSpPr>
        </xdr:nvSpPr>
        <xdr:spPr bwMode="auto">
          <a:xfrm rot="10800000" flipV="1">
            <a:off x="1788" y="459"/>
            <a:ext cx="22" cy="6"/>
          </a:xfrm>
          <a:prstGeom prst="line">
            <a:avLst/>
          </a:prstGeom>
          <a:noFill/>
          <a:ln w="190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7" name="Line 3977">
            <a:extLst>
              <a:ext uri="{FF2B5EF4-FFF2-40B4-BE49-F238E27FC236}">
                <a16:creationId xmlns:a16="http://schemas.microsoft.com/office/drawing/2014/main" id="{00000000-0008-0000-0000-000057000000}"/>
              </a:ext>
            </a:extLst>
          </xdr:cNvPr>
          <xdr:cNvSpPr>
            <a:spLocks noChangeAspect="1" noChangeShapeType="1"/>
          </xdr:cNvSpPr>
        </xdr:nvSpPr>
        <xdr:spPr bwMode="auto">
          <a:xfrm rot="10800000">
            <a:off x="1788" y="465"/>
            <a:ext cx="22" cy="5"/>
          </a:xfrm>
          <a:prstGeom prst="line">
            <a:avLst/>
          </a:prstGeom>
          <a:noFill/>
          <a:ln w="190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8" name="Line 3978">
            <a:extLst>
              <a:ext uri="{FF2B5EF4-FFF2-40B4-BE49-F238E27FC236}">
                <a16:creationId xmlns:a16="http://schemas.microsoft.com/office/drawing/2014/main" id="{00000000-0008-0000-0000-000058000000}"/>
              </a:ext>
            </a:extLst>
          </xdr:cNvPr>
          <xdr:cNvSpPr>
            <a:spLocks noChangeAspect="1" noChangeShapeType="1"/>
          </xdr:cNvSpPr>
        </xdr:nvSpPr>
        <xdr:spPr bwMode="auto">
          <a:xfrm rot="10800000" flipV="1">
            <a:off x="1788" y="470"/>
            <a:ext cx="22" cy="6"/>
          </a:xfrm>
          <a:prstGeom prst="line">
            <a:avLst/>
          </a:prstGeom>
          <a:noFill/>
          <a:ln w="190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" name="Line 3979">
            <a:extLst>
              <a:ext uri="{FF2B5EF4-FFF2-40B4-BE49-F238E27FC236}">
                <a16:creationId xmlns:a16="http://schemas.microsoft.com/office/drawing/2014/main" id="{00000000-0008-0000-0000-000059000000}"/>
              </a:ext>
            </a:extLst>
          </xdr:cNvPr>
          <xdr:cNvSpPr>
            <a:spLocks noChangeAspect="1" noChangeShapeType="1"/>
          </xdr:cNvSpPr>
        </xdr:nvSpPr>
        <xdr:spPr bwMode="auto">
          <a:xfrm rot="10800000">
            <a:off x="1788" y="476"/>
            <a:ext cx="11" cy="3"/>
          </a:xfrm>
          <a:prstGeom prst="line">
            <a:avLst/>
          </a:prstGeom>
          <a:noFill/>
          <a:ln w="190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0" name="Line 3980">
            <a:extLst>
              <a:ext uri="{FF2B5EF4-FFF2-40B4-BE49-F238E27FC236}">
                <a16:creationId xmlns:a16="http://schemas.microsoft.com/office/drawing/2014/main" id="{00000000-0008-0000-0000-00005A000000}"/>
              </a:ext>
            </a:extLst>
          </xdr:cNvPr>
          <xdr:cNvSpPr>
            <a:spLocks noChangeAspect="1" noChangeShapeType="1"/>
          </xdr:cNvSpPr>
        </xdr:nvSpPr>
        <xdr:spPr bwMode="auto">
          <a:xfrm rot="10800000">
            <a:off x="1799" y="432"/>
            <a:ext cx="0" cy="14"/>
          </a:xfrm>
          <a:prstGeom prst="line">
            <a:avLst/>
          </a:prstGeom>
          <a:noFill/>
          <a:ln w="190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9</xdr:col>
      <xdr:colOff>38100</xdr:colOff>
      <xdr:row>21</xdr:row>
      <xdr:rowOff>114300</xdr:rowOff>
    </xdr:from>
    <xdr:to>
      <xdr:col>10</xdr:col>
      <xdr:colOff>152400</xdr:colOff>
      <xdr:row>22</xdr:row>
      <xdr:rowOff>66675</xdr:rowOff>
    </xdr:to>
    <xdr:grpSp>
      <xdr:nvGrpSpPr>
        <xdr:cNvPr id="91" name="Group 4640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GrpSpPr>
          <a:grpSpLocks noChangeAspect="1"/>
        </xdr:cNvGrpSpPr>
      </xdr:nvGrpSpPr>
      <xdr:grpSpPr bwMode="auto">
        <a:xfrm>
          <a:off x="1742017" y="4114800"/>
          <a:ext cx="304800" cy="142875"/>
          <a:chOff x="1491" y="181"/>
          <a:chExt cx="43" cy="21"/>
        </a:xfrm>
      </xdr:grpSpPr>
      <xdr:sp macro="" textlink="">
        <xdr:nvSpPr>
          <xdr:cNvPr id="92" name="Line 4641">
            <a:extLst>
              <a:ext uri="{FF2B5EF4-FFF2-40B4-BE49-F238E27FC236}">
                <a16:creationId xmlns:a16="http://schemas.microsoft.com/office/drawing/2014/main" id="{00000000-0008-0000-0000-00005C000000}"/>
              </a:ext>
            </a:extLst>
          </xdr:cNvPr>
          <xdr:cNvSpPr>
            <a:spLocks noChangeAspect="1" noChangeShapeType="1"/>
          </xdr:cNvSpPr>
        </xdr:nvSpPr>
        <xdr:spPr bwMode="auto">
          <a:xfrm>
            <a:off x="1491" y="181"/>
            <a:ext cx="43" cy="0"/>
          </a:xfrm>
          <a:prstGeom prst="line">
            <a:avLst/>
          </a:prstGeom>
          <a:noFill/>
          <a:ln w="190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3" name="Line 4642">
            <a:extLst>
              <a:ext uri="{FF2B5EF4-FFF2-40B4-BE49-F238E27FC236}">
                <a16:creationId xmlns:a16="http://schemas.microsoft.com/office/drawing/2014/main" id="{00000000-0008-0000-0000-00005D000000}"/>
              </a:ext>
            </a:extLst>
          </xdr:cNvPr>
          <xdr:cNvSpPr>
            <a:spLocks noChangeAspect="1" noChangeShapeType="1"/>
          </xdr:cNvSpPr>
        </xdr:nvSpPr>
        <xdr:spPr bwMode="auto">
          <a:xfrm>
            <a:off x="1491" y="202"/>
            <a:ext cx="43" cy="0"/>
          </a:xfrm>
          <a:prstGeom prst="line">
            <a:avLst/>
          </a:prstGeom>
          <a:noFill/>
          <a:ln w="190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/>
  </xdr:twoCellAnchor>
  <xdr:twoCellAnchor>
    <xdr:from>
      <xdr:col>10</xdr:col>
      <xdr:colOff>19050</xdr:colOff>
      <xdr:row>19</xdr:row>
      <xdr:rowOff>0</xdr:rowOff>
    </xdr:from>
    <xdr:to>
      <xdr:col>12</xdr:col>
      <xdr:colOff>190500</xdr:colOff>
      <xdr:row>20</xdr:row>
      <xdr:rowOff>76200</xdr:rowOff>
    </xdr:to>
    <xdr:sp macro="" textlink="">
      <xdr:nvSpPr>
        <xdr:cNvPr id="94" name="Freeform 3956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>
          <a:spLocks/>
        </xdr:cNvSpPr>
      </xdr:nvSpPr>
      <xdr:spPr bwMode="auto">
        <a:xfrm>
          <a:off x="1914525" y="3619500"/>
          <a:ext cx="552450" cy="266700"/>
        </a:xfrm>
        <a:custGeom>
          <a:avLst/>
          <a:gdLst>
            <a:gd name="T0" fmla="*/ 0 w 160"/>
            <a:gd name="T1" fmla="*/ 0 h 84"/>
            <a:gd name="T2" fmla="*/ 2147483647 w 160"/>
            <a:gd name="T3" fmla="*/ 0 h 84"/>
            <a:gd name="T4" fmla="*/ 2147483647 w 160"/>
            <a:gd name="T5" fmla="*/ 2147483647 h 84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160" h="84">
              <a:moveTo>
                <a:pt x="0" y="0"/>
              </a:moveTo>
              <a:lnTo>
                <a:pt x="160" y="0"/>
              </a:lnTo>
              <a:lnTo>
                <a:pt x="160" y="84"/>
              </a:lnTo>
            </a:path>
          </a:pathLst>
        </a:custGeom>
        <a:noFill/>
        <a:ln w="19050" cap="flat" cmpd="sng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190500</xdr:colOff>
      <xdr:row>15</xdr:row>
      <xdr:rowOff>57150</xdr:rowOff>
    </xdr:from>
    <xdr:to>
      <xdr:col>9</xdr:col>
      <xdr:colOff>190500</xdr:colOff>
      <xdr:row>21</xdr:row>
      <xdr:rowOff>123825</xdr:rowOff>
    </xdr:to>
    <xdr:sp macro="" textlink="">
      <xdr:nvSpPr>
        <xdr:cNvPr id="95" name="Line 3986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>
          <a:spLocks noChangeShapeType="1"/>
        </xdr:cNvSpPr>
      </xdr:nvSpPr>
      <xdr:spPr bwMode="auto">
        <a:xfrm flipH="1" flipV="1">
          <a:off x="1895475" y="2914650"/>
          <a:ext cx="0" cy="1209675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10</xdr:col>
      <xdr:colOff>0</xdr:colOff>
      <xdr:row>11</xdr:row>
      <xdr:rowOff>0</xdr:rowOff>
    </xdr:from>
    <xdr:to>
      <xdr:col>10</xdr:col>
      <xdr:colOff>0</xdr:colOff>
      <xdr:row>13</xdr:row>
      <xdr:rowOff>114300</xdr:rowOff>
    </xdr:to>
    <xdr:sp macro="" textlink="">
      <xdr:nvSpPr>
        <xdr:cNvPr id="96" name="Line 3986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>
          <a:spLocks noChangeShapeType="1"/>
        </xdr:cNvSpPr>
      </xdr:nvSpPr>
      <xdr:spPr bwMode="auto">
        <a:xfrm flipV="1">
          <a:off x="1895475" y="2095500"/>
          <a:ext cx="0" cy="49530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10</xdr:col>
      <xdr:colOff>0</xdr:colOff>
      <xdr:row>22</xdr:row>
      <xdr:rowOff>71968</xdr:rowOff>
    </xdr:from>
    <xdr:to>
      <xdr:col>10</xdr:col>
      <xdr:colOff>0</xdr:colOff>
      <xdr:row>26</xdr:row>
      <xdr:rowOff>176743</xdr:rowOff>
    </xdr:to>
    <xdr:sp macro="" textlink="">
      <xdr:nvSpPr>
        <xdr:cNvPr id="97" name="Line 3986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>
          <a:spLocks noChangeShapeType="1"/>
        </xdr:cNvSpPr>
      </xdr:nvSpPr>
      <xdr:spPr bwMode="auto">
        <a:xfrm flipV="1">
          <a:off x="1895475" y="4262968"/>
          <a:ext cx="0" cy="866775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0</xdr:colOff>
      <xdr:row>22</xdr:row>
      <xdr:rowOff>133350</xdr:rowOff>
    </xdr:from>
    <xdr:to>
      <xdr:col>13</xdr:col>
      <xdr:colOff>0</xdr:colOff>
      <xdr:row>26</xdr:row>
      <xdr:rowOff>180975</xdr:rowOff>
    </xdr:to>
    <xdr:sp macro="" textlink="">
      <xdr:nvSpPr>
        <xdr:cNvPr id="98" name="Line 3986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>
          <a:spLocks noChangeShapeType="1"/>
        </xdr:cNvSpPr>
      </xdr:nvSpPr>
      <xdr:spPr bwMode="auto">
        <a:xfrm flipV="1">
          <a:off x="2466975" y="4324350"/>
          <a:ext cx="0" cy="809625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19</xdr:col>
      <xdr:colOff>38100</xdr:colOff>
      <xdr:row>21</xdr:row>
      <xdr:rowOff>114300</xdr:rowOff>
    </xdr:from>
    <xdr:to>
      <xdr:col>20</xdr:col>
      <xdr:colOff>152400</xdr:colOff>
      <xdr:row>22</xdr:row>
      <xdr:rowOff>66675</xdr:rowOff>
    </xdr:to>
    <xdr:grpSp>
      <xdr:nvGrpSpPr>
        <xdr:cNvPr id="99" name="Group 4640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GrpSpPr>
          <a:grpSpLocks noChangeAspect="1"/>
        </xdr:cNvGrpSpPr>
      </xdr:nvGrpSpPr>
      <xdr:grpSpPr bwMode="auto">
        <a:xfrm>
          <a:off x="3647017" y="4114800"/>
          <a:ext cx="304800" cy="142875"/>
          <a:chOff x="1491" y="181"/>
          <a:chExt cx="43" cy="21"/>
        </a:xfrm>
      </xdr:grpSpPr>
      <xdr:sp macro="" textlink="">
        <xdr:nvSpPr>
          <xdr:cNvPr id="100" name="Line 4641">
            <a:extLst>
              <a:ext uri="{FF2B5EF4-FFF2-40B4-BE49-F238E27FC236}">
                <a16:creationId xmlns:a16="http://schemas.microsoft.com/office/drawing/2014/main" id="{00000000-0008-0000-0000-000064000000}"/>
              </a:ext>
            </a:extLst>
          </xdr:cNvPr>
          <xdr:cNvSpPr>
            <a:spLocks noChangeAspect="1" noChangeShapeType="1"/>
          </xdr:cNvSpPr>
        </xdr:nvSpPr>
        <xdr:spPr bwMode="auto">
          <a:xfrm>
            <a:off x="1491" y="181"/>
            <a:ext cx="43" cy="0"/>
          </a:xfrm>
          <a:prstGeom prst="line">
            <a:avLst/>
          </a:prstGeom>
          <a:noFill/>
          <a:ln w="190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01" name="Line 4642">
            <a:extLst>
              <a:ext uri="{FF2B5EF4-FFF2-40B4-BE49-F238E27FC236}">
                <a16:creationId xmlns:a16="http://schemas.microsoft.com/office/drawing/2014/main" id="{00000000-0008-0000-0000-000065000000}"/>
              </a:ext>
            </a:extLst>
          </xdr:cNvPr>
          <xdr:cNvSpPr>
            <a:spLocks noChangeAspect="1" noChangeShapeType="1"/>
          </xdr:cNvSpPr>
        </xdr:nvSpPr>
        <xdr:spPr bwMode="auto">
          <a:xfrm>
            <a:off x="1491" y="202"/>
            <a:ext cx="43" cy="0"/>
          </a:xfrm>
          <a:prstGeom prst="line">
            <a:avLst/>
          </a:prstGeom>
          <a:noFill/>
          <a:ln w="190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/>
  </xdr:twoCellAnchor>
  <xdr:twoCellAnchor>
    <xdr:from>
      <xdr:col>20</xdr:col>
      <xdr:colOff>0</xdr:colOff>
      <xdr:row>11</xdr:row>
      <xdr:rowOff>38100</xdr:rowOff>
    </xdr:from>
    <xdr:to>
      <xdr:col>20</xdr:col>
      <xdr:colOff>0</xdr:colOff>
      <xdr:row>21</xdr:row>
      <xdr:rowOff>114300</xdr:rowOff>
    </xdr:to>
    <xdr:sp macro="" textlink="">
      <xdr:nvSpPr>
        <xdr:cNvPr id="102" name="Line 3986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>
          <a:spLocks noChangeShapeType="1"/>
        </xdr:cNvSpPr>
      </xdr:nvSpPr>
      <xdr:spPr bwMode="auto">
        <a:xfrm flipV="1">
          <a:off x="3800475" y="2133600"/>
          <a:ext cx="0" cy="198120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20</xdr:col>
      <xdr:colOff>0</xdr:colOff>
      <xdr:row>22</xdr:row>
      <xdr:rowOff>71968</xdr:rowOff>
    </xdr:from>
    <xdr:to>
      <xdr:col>20</xdr:col>
      <xdr:colOff>0</xdr:colOff>
      <xdr:row>26</xdr:row>
      <xdr:rowOff>176743</xdr:rowOff>
    </xdr:to>
    <xdr:sp macro="" textlink="">
      <xdr:nvSpPr>
        <xdr:cNvPr id="103" name="Line 3986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>
          <a:spLocks noChangeShapeType="1"/>
        </xdr:cNvSpPr>
      </xdr:nvSpPr>
      <xdr:spPr bwMode="auto">
        <a:xfrm flipV="1">
          <a:off x="3800475" y="4262968"/>
          <a:ext cx="0" cy="866775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161925</xdr:colOff>
      <xdr:row>10</xdr:row>
      <xdr:rowOff>142875</xdr:rowOff>
    </xdr:from>
    <xdr:to>
      <xdr:col>10</xdr:col>
      <xdr:colOff>57150</xdr:colOff>
      <xdr:row>11</xdr:row>
      <xdr:rowOff>38100</xdr:rowOff>
    </xdr:to>
    <xdr:sp macro="" textlink="">
      <xdr:nvSpPr>
        <xdr:cNvPr id="104" name="Oval 4848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>
          <a:spLocks noChangeArrowheads="1"/>
        </xdr:cNvSpPr>
      </xdr:nvSpPr>
      <xdr:spPr bwMode="auto">
        <a:xfrm>
          <a:off x="1866900" y="2047875"/>
          <a:ext cx="85725" cy="8572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19</xdr:col>
      <xdr:colOff>161925</xdr:colOff>
      <xdr:row>10</xdr:row>
      <xdr:rowOff>161925</xdr:rowOff>
    </xdr:from>
    <xdr:to>
      <xdr:col>20</xdr:col>
      <xdr:colOff>57150</xdr:colOff>
      <xdr:row>11</xdr:row>
      <xdr:rowOff>57150</xdr:rowOff>
    </xdr:to>
    <xdr:sp macro="" textlink="">
      <xdr:nvSpPr>
        <xdr:cNvPr id="105" name="Oval 4848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>
          <a:spLocks noChangeArrowheads="1"/>
        </xdr:cNvSpPr>
      </xdr:nvSpPr>
      <xdr:spPr bwMode="auto">
        <a:xfrm>
          <a:off x="3771900" y="2066925"/>
          <a:ext cx="85725" cy="8572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9</xdr:col>
      <xdr:colOff>161925</xdr:colOff>
      <xdr:row>18</xdr:row>
      <xdr:rowOff>142875</xdr:rowOff>
    </xdr:from>
    <xdr:to>
      <xdr:col>10</xdr:col>
      <xdr:colOff>57150</xdr:colOff>
      <xdr:row>19</xdr:row>
      <xdr:rowOff>38100</xdr:rowOff>
    </xdr:to>
    <xdr:sp macro="" textlink="">
      <xdr:nvSpPr>
        <xdr:cNvPr id="106" name="Oval 4848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>
          <a:spLocks noChangeArrowheads="1"/>
        </xdr:cNvSpPr>
      </xdr:nvSpPr>
      <xdr:spPr bwMode="auto">
        <a:xfrm>
          <a:off x="1866900" y="3571875"/>
          <a:ext cx="85725" cy="8572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26</xdr:row>
      <xdr:rowOff>142875</xdr:rowOff>
    </xdr:from>
    <xdr:to>
      <xdr:col>10</xdr:col>
      <xdr:colOff>38100</xdr:colOff>
      <xdr:row>27</xdr:row>
      <xdr:rowOff>38100</xdr:rowOff>
    </xdr:to>
    <xdr:sp macro="" textlink="">
      <xdr:nvSpPr>
        <xdr:cNvPr id="107" name="Oval 4848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>
          <a:spLocks noChangeArrowheads="1"/>
        </xdr:cNvSpPr>
      </xdr:nvSpPr>
      <xdr:spPr bwMode="auto">
        <a:xfrm>
          <a:off x="1847850" y="5095875"/>
          <a:ext cx="85725" cy="8572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12</xdr:col>
      <xdr:colOff>123825</xdr:colOff>
      <xdr:row>26</xdr:row>
      <xdr:rowOff>142875</xdr:rowOff>
    </xdr:from>
    <xdr:to>
      <xdr:col>13</xdr:col>
      <xdr:colOff>19050</xdr:colOff>
      <xdr:row>27</xdr:row>
      <xdr:rowOff>38100</xdr:rowOff>
    </xdr:to>
    <xdr:sp macro="" textlink="">
      <xdr:nvSpPr>
        <xdr:cNvPr id="108" name="Oval 4848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>
          <a:spLocks noChangeArrowheads="1"/>
        </xdr:cNvSpPr>
      </xdr:nvSpPr>
      <xdr:spPr bwMode="auto">
        <a:xfrm>
          <a:off x="2400300" y="5095875"/>
          <a:ext cx="85725" cy="8572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19</xdr:col>
      <xdr:colOff>142875</xdr:colOff>
      <xdr:row>26</xdr:row>
      <xdr:rowOff>142875</xdr:rowOff>
    </xdr:from>
    <xdr:to>
      <xdr:col>20</xdr:col>
      <xdr:colOff>38100</xdr:colOff>
      <xdr:row>27</xdr:row>
      <xdr:rowOff>38100</xdr:rowOff>
    </xdr:to>
    <xdr:sp macro="" textlink="">
      <xdr:nvSpPr>
        <xdr:cNvPr id="109" name="Oval 4848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>
          <a:spLocks noChangeArrowheads="1"/>
        </xdr:cNvSpPr>
      </xdr:nvSpPr>
      <xdr:spPr bwMode="auto">
        <a:xfrm>
          <a:off x="3752850" y="5095875"/>
          <a:ext cx="85725" cy="8572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 editAs="oneCell">
    <xdr:from>
      <xdr:col>3</xdr:col>
      <xdr:colOff>104437</xdr:colOff>
      <xdr:row>28</xdr:row>
      <xdr:rowOff>179916</xdr:rowOff>
    </xdr:from>
    <xdr:to>
      <xdr:col>29</xdr:col>
      <xdr:colOff>28576</xdr:colOff>
      <xdr:row>47</xdr:row>
      <xdr:rowOff>116416</xdr:rowOff>
    </xdr:to>
    <xdr:pic>
      <xdr:nvPicPr>
        <xdr:cNvPr id="110" name="図 2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256" t="30930" r="50580" b="19424"/>
        <a:stretch>
          <a:fillRect/>
        </a:stretch>
      </xdr:blipFill>
      <xdr:spPr bwMode="auto">
        <a:xfrm>
          <a:off x="675937" y="5513916"/>
          <a:ext cx="4867614" cy="355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43</xdr:col>
      <xdr:colOff>0</xdr:colOff>
      <xdr:row>3</xdr:row>
      <xdr:rowOff>79375</xdr:rowOff>
    </xdr:from>
    <xdr:to>
      <xdr:col>48</xdr:col>
      <xdr:colOff>31749</xdr:colOff>
      <xdr:row>4</xdr:row>
      <xdr:rowOff>142875</xdr:rowOff>
    </xdr:to>
    <xdr:sp macro="" textlink="">
      <xdr:nvSpPr>
        <xdr:cNvPr id="111" name="正方形/長方形 110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/>
      </xdr:nvSpPr>
      <xdr:spPr bwMode="auto">
        <a:xfrm>
          <a:off x="8172450" y="650875"/>
          <a:ext cx="984249" cy="254000"/>
        </a:xfrm>
        <a:prstGeom prst="rect">
          <a:avLst/>
        </a:prstGeom>
        <a:noFill/>
        <a:ln w="1905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en-US" altLang="ja-JP" sz="1400"/>
            <a:t>Z1</a:t>
          </a:r>
          <a:endParaRPr kumimoji="1" lang="ja-JP" altLang="en-US" sz="1400"/>
        </a:p>
      </xdr:txBody>
    </xdr:sp>
    <xdr:clientData/>
  </xdr:twoCellAnchor>
  <xdr:twoCellAnchor>
    <xdr:from>
      <xdr:col>50</xdr:col>
      <xdr:colOff>25400</xdr:colOff>
      <xdr:row>3</xdr:row>
      <xdr:rowOff>73025</xdr:rowOff>
    </xdr:from>
    <xdr:to>
      <xdr:col>55</xdr:col>
      <xdr:colOff>57149</xdr:colOff>
      <xdr:row>4</xdr:row>
      <xdr:rowOff>136525</xdr:rowOff>
    </xdr:to>
    <xdr:sp macro="" textlink="">
      <xdr:nvSpPr>
        <xdr:cNvPr id="112" name="正方形/長方形 111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/>
      </xdr:nvSpPr>
      <xdr:spPr bwMode="auto">
        <a:xfrm>
          <a:off x="9531350" y="644525"/>
          <a:ext cx="984249" cy="254000"/>
        </a:xfrm>
        <a:prstGeom prst="rect">
          <a:avLst/>
        </a:prstGeom>
        <a:noFill/>
        <a:ln w="1905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en-US" altLang="ja-JP" sz="1400"/>
            <a:t>Z1</a:t>
          </a:r>
          <a:endParaRPr kumimoji="1" lang="ja-JP" altLang="en-US" sz="1400"/>
        </a:p>
      </xdr:txBody>
    </xdr:sp>
    <xdr:clientData/>
  </xdr:twoCellAnchor>
  <xdr:twoCellAnchor>
    <xdr:from>
      <xdr:col>48</xdr:col>
      <xdr:colOff>82551</xdr:colOff>
      <xdr:row>5</xdr:row>
      <xdr:rowOff>161924</xdr:rowOff>
    </xdr:from>
    <xdr:to>
      <xdr:col>49</xdr:col>
      <xdr:colOff>127001</xdr:colOff>
      <xdr:row>10</xdr:row>
      <xdr:rowOff>190499</xdr:rowOff>
    </xdr:to>
    <xdr:sp macro="" textlink="">
      <xdr:nvSpPr>
        <xdr:cNvPr id="113" name="正方形/長方形 112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/>
      </xdr:nvSpPr>
      <xdr:spPr bwMode="auto">
        <a:xfrm>
          <a:off x="9207501" y="1114424"/>
          <a:ext cx="234950" cy="981075"/>
        </a:xfrm>
        <a:prstGeom prst="rect">
          <a:avLst/>
        </a:prstGeom>
        <a:noFill/>
        <a:ln w="1905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en-US" altLang="ja-JP" sz="1400"/>
            <a:t>Z2</a:t>
          </a:r>
          <a:endParaRPr kumimoji="1" lang="ja-JP" altLang="en-US" sz="1400"/>
        </a:p>
      </xdr:txBody>
    </xdr:sp>
    <xdr:clientData/>
  </xdr:twoCellAnchor>
  <xdr:twoCellAnchor>
    <xdr:from>
      <xdr:col>56</xdr:col>
      <xdr:colOff>152400</xdr:colOff>
      <xdr:row>3</xdr:row>
      <xdr:rowOff>73025</xdr:rowOff>
    </xdr:from>
    <xdr:to>
      <xdr:col>61</xdr:col>
      <xdr:colOff>184149</xdr:colOff>
      <xdr:row>4</xdr:row>
      <xdr:rowOff>136525</xdr:rowOff>
    </xdr:to>
    <xdr:sp macro="" textlink="">
      <xdr:nvSpPr>
        <xdr:cNvPr id="114" name="正方形/長方形 113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/>
      </xdr:nvSpPr>
      <xdr:spPr bwMode="auto">
        <a:xfrm>
          <a:off x="10801350" y="644525"/>
          <a:ext cx="984249" cy="254000"/>
        </a:xfrm>
        <a:prstGeom prst="rect">
          <a:avLst/>
        </a:prstGeom>
        <a:noFill/>
        <a:ln w="1905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en-US" altLang="ja-JP" sz="1400"/>
            <a:t>Z3</a:t>
          </a:r>
          <a:endParaRPr kumimoji="1" lang="ja-JP" altLang="en-US" sz="1400"/>
        </a:p>
      </xdr:txBody>
    </xdr:sp>
    <xdr:clientData/>
  </xdr:twoCellAnchor>
  <xdr:twoCellAnchor>
    <xdr:from>
      <xdr:col>63</xdr:col>
      <xdr:colOff>177800</xdr:colOff>
      <xdr:row>3</xdr:row>
      <xdr:rowOff>66675</xdr:rowOff>
    </xdr:from>
    <xdr:to>
      <xdr:col>69</xdr:col>
      <xdr:colOff>19049</xdr:colOff>
      <xdr:row>4</xdr:row>
      <xdr:rowOff>130175</xdr:rowOff>
    </xdr:to>
    <xdr:sp macro="" textlink="">
      <xdr:nvSpPr>
        <xdr:cNvPr id="115" name="正方形/長方形 114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/>
      </xdr:nvSpPr>
      <xdr:spPr bwMode="auto">
        <a:xfrm>
          <a:off x="12160250" y="638175"/>
          <a:ext cx="984249" cy="254000"/>
        </a:xfrm>
        <a:prstGeom prst="rect">
          <a:avLst/>
        </a:prstGeom>
        <a:noFill/>
        <a:ln w="1905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en-US" altLang="ja-JP" sz="1400"/>
            <a:t>Z3</a:t>
          </a:r>
          <a:endParaRPr kumimoji="1" lang="ja-JP" altLang="en-US" sz="1400"/>
        </a:p>
      </xdr:txBody>
    </xdr:sp>
    <xdr:clientData/>
  </xdr:twoCellAnchor>
  <xdr:twoCellAnchor>
    <xdr:from>
      <xdr:col>62</xdr:col>
      <xdr:colOff>44451</xdr:colOff>
      <xdr:row>5</xdr:row>
      <xdr:rowOff>155574</xdr:rowOff>
    </xdr:from>
    <xdr:to>
      <xdr:col>63</xdr:col>
      <xdr:colOff>88901</xdr:colOff>
      <xdr:row>10</xdr:row>
      <xdr:rowOff>184149</xdr:rowOff>
    </xdr:to>
    <xdr:sp macro="" textlink="">
      <xdr:nvSpPr>
        <xdr:cNvPr id="116" name="正方形/長方形 115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/>
      </xdr:nvSpPr>
      <xdr:spPr bwMode="auto">
        <a:xfrm>
          <a:off x="11836401" y="1108074"/>
          <a:ext cx="234950" cy="981075"/>
        </a:xfrm>
        <a:prstGeom prst="rect">
          <a:avLst/>
        </a:prstGeom>
        <a:noFill/>
        <a:ln w="1905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en-US" altLang="ja-JP" sz="1400"/>
            <a:t>Z4</a:t>
          </a:r>
          <a:endParaRPr kumimoji="1" lang="ja-JP" altLang="en-US" sz="1400"/>
        </a:p>
      </xdr:txBody>
    </xdr:sp>
    <xdr:clientData/>
  </xdr:twoCellAnchor>
  <xdr:twoCellAnchor>
    <xdr:from>
      <xdr:col>48</xdr:col>
      <xdr:colOff>95250</xdr:colOff>
      <xdr:row>12</xdr:row>
      <xdr:rowOff>180975</xdr:rowOff>
    </xdr:from>
    <xdr:to>
      <xdr:col>49</xdr:col>
      <xdr:colOff>114300</xdr:colOff>
      <xdr:row>15</xdr:row>
      <xdr:rowOff>57150</xdr:rowOff>
    </xdr:to>
    <xdr:grpSp>
      <xdr:nvGrpSpPr>
        <xdr:cNvPr id="117" name="Group 3972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GrpSpPr>
          <a:grpSpLocks/>
        </xdr:cNvGrpSpPr>
      </xdr:nvGrpSpPr>
      <xdr:grpSpPr bwMode="auto">
        <a:xfrm>
          <a:off x="9218083" y="2466975"/>
          <a:ext cx="209550" cy="447675"/>
          <a:chOff x="1788" y="432"/>
          <a:chExt cx="22" cy="47"/>
        </a:xfrm>
      </xdr:grpSpPr>
      <xdr:sp macro="" textlink="">
        <xdr:nvSpPr>
          <xdr:cNvPr id="118" name="Line 3973">
            <a:extLst>
              <a:ext uri="{FF2B5EF4-FFF2-40B4-BE49-F238E27FC236}">
                <a16:creationId xmlns:a16="http://schemas.microsoft.com/office/drawing/2014/main" id="{00000000-0008-0000-0000-000076000000}"/>
              </a:ext>
            </a:extLst>
          </xdr:cNvPr>
          <xdr:cNvSpPr>
            <a:spLocks noChangeAspect="1" noChangeShapeType="1"/>
          </xdr:cNvSpPr>
        </xdr:nvSpPr>
        <xdr:spPr bwMode="auto">
          <a:xfrm rot="10800000">
            <a:off x="1799" y="445"/>
            <a:ext cx="11" cy="3"/>
          </a:xfrm>
          <a:prstGeom prst="line">
            <a:avLst/>
          </a:prstGeom>
          <a:noFill/>
          <a:ln w="190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9" name="Line 3974">
            <a:extLst>
              <a:ext uri="{FF2B5EF4-FFF2-40B4-BE49-F238E27FC236}">
                <a16:creationId xmlns:a16="http://schemas.microsoft.com/office/drawing/2014/main" id="{00000000-0008-0000-0000-000077000000}"/>
              </a:ext>
            </a:extLst>
          </xdr:cNvPr>
          <xdr:cNvSpPr>
            <a:spLocks noChangeAspect="1" noChangeShapeType="1"/>
          </xdr:cNvSpPr>
        </xdr:nvSpPr>
        <xdr:spPr bwMode="auto">
          <a:xfrm rot="10800000" flipV="1">
            <a:off x="1788" y="448"/>
            <a:ext cx="22" cy="6"/>
          </a:xfrm>
          <a:prstGeom prst="line">
            <a:avLst/>
          </a:prstGeom>
          <a:noFill/>
          <a:ln w="190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0" name="Line 3975">
            <a:extLst>
              <a:ext uri="{FF2B5EF4-FFF2-40B4-BE49-F238E27FC236}">
                <a16:creationId xmlns:a16="http://schemas.microsoft.com/office/drawing/2014/main" id="{00000000-0008-0000-0000-000078000000}"/>
              </a:ext>
            </a:extLst>
          </xdr:cNvPr>
          <xdr:cNvSpPr>
            <a:spLocks noChangeAspect="1" noChangeShapeType="1"/>
          </xdr:cNvSpPr>
        </xdr:nvSpPr>
        <xdr:spPr bwMode="auto">
          <a:xfrm rot="10800000">
            <a:off x="1788" y="454"/>
            <a:ext cx="22" cy="5"/>
          </a:xfrm>
          <a:prstGeom prst="line">
            <a:avLst/>
          </a:prstGeom>
          <a:noFill/>
          <a:ln w="190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1" name="Line 3976">
            <a:extLst>
              <a:ext uri="{FF2B5EF4-FFF2-40B4-BE49-F238E27FC236}">
                <a16:creationId xmlns:a16="http://schemas.microsoft.com/office/drawing/2014/main" id="{00000000-0008-0000-0000-000079000000}"/>
              </a:ext>
            </a:extLst>
          </xdr:cNvPr>
          <xdr:cNvSpPr>
            <a:spLocks noChangeAspect="1" noChangeShapeType="1"/>
          </xdr:cNvSpPr>
        </xdr:nvSpPr>
        <xdr:spPr bwMode="auto">
          <a:xfrm rot="10800000" flipV="1">
            <a:off x="1788" y="459"/>
            <a:ext cx="22" cy="6"/>
          </a:xfrm>
          <a:prstGeom prst="line">
            <a:avLst/>
          </a:prstGeom>
          <a:noFill/>
          <a:ln w="190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2" name="Line 3977">
            <a:extLst>
              <a:ext uri="{FF2B5EF4-FFF2-40B4-BE49-F238E27FC236}">
                <a16:creationId xmlns:a16="http://schemas.microsoft.com/office/drawing/2014/main" id="{00000000-0008-0000-0000-00007A000000}"/>
              </a:ext>
            </a:extLst>
          </xdr:cNvPr>
          <xdr:cNvSpPr>
            <a:spLocks noChangeAspect="1" noChangeShapeType="1"/>
          </xdr:cNvSpPr>
        </xdr:nvSpPr>
        <xdr:spPr bwMode="auto">
          <a:xfrm rot="10800000">
            <a:off x="1788" y="465"/>
            <a:ext cx="22" cy="5"/>
          </a:xfrm>
          <a:prstGeom prst="line">
            <a:avLst/>
          </a:prstGeom>
          <a:noFill/>
          <a:ln w="190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3" name="Line 3978">
            <a:extLst>
              <a:ext uri="{FF2B5EF4-FFF2-40B4-BE49-F238E27FC236}">
                <a16:creationId xmlns:a16="http://schemas.microsoft.com/office/drawing/2014/main" id="{00000000-0008-0000-0000-00007B000000}"/>
              </a:ext>
            </a:extLst>
          </xdr:cNvPr>
          <xdr:cNvSpPr>
            <a:spLocks noChangeAspect="1" noChangeShapeType="1"/>
          </xdr:cNvSpPr>
        </xdr:nvSpPr>
        <xdr:spPr bwMode="auto">
          <a:xfrm rot="10800000" flipV="1">
            <a:off x="1788" y="470"/>
            <a:ext cx="22" cy="6"/>
          </a:xfrm>
          <a:prstGeom prst="line">
            <a:avLst/>
          </a:prstGeom>
          <a:noFill/>
          <a:ln w="190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4" name="Line 3979">
            <a:extLst>
              <a:ext uri="{FF2B5EF4-FFF2-40B4-BE49-F238E27FC236}">
                <a16:creationId xmlns:a16="http://schemas.microsoft.com/office/drawing/2014/main" id="{00000000-0008-0000-0000-00007C000000}"/>
              </a:ext>
            </a:extLst>
          </xdr:cNvPr>
          <xdr:cNvSpPr>
            <a:spLocks noChangeAspect="1" noChangeShapeType="1"/>
          </xdr:cNvSpPr>
        </xdr:nvSpPr>
        <xdr:spPr bwMode="auto">
          <a:xfrm rot="10800000">
            <a:off x="1788" y="476"/>
            <a:ext cx="11" cy="3"/>
          </a:xfrm>
          <a:prstGeom prst="line">
            <a:avLst/>
          </a:prstGeom>
          <a:noFill/>
          <a:ln w="190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5" name="Line 3980">
            <a:extLst>
              <a:ext uri="{FF2B5EF4-FFF2-40B4-BE49-F238E27FC236}">
                <a16:creationId xmlns:a16="http://schemas.microsoft.com/office/drawing/2014/main" id="{00000000-0008-0000-0000-00007D000000}"/>
              </a:ext>
            </a:extLst>
          </xdr:cNvPr>
          <xdr:cNvSpPr>
            <a:spLocks noChangeAspect="1" noChangeShapeType="1"/>
          </xdr:cNvSpPr>
        </xdr:nvSpPr>
        <xdr:spPr bwMode="auto">
          <a:xfrm rot="10800000">
            <a:off x="1799" y="432"/>
            <a:ext cx="0" cy="14"/>
          </a:xfrm>
          <a:prstGeom prst="line">
            <a:avLst/>
          </a:prstGeom>
          <a:noFill/>
          <a:ln w="190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48</xdr:col>
      <xdr:colOff>47625</xdr:colOff>
      <xdr:row>21</xdr:row>
      <xdr:rowOff>114300</xdr:rowOff>
    </xdr:from>
    <xdr:to>
      <xdr:col>49</xdr:col>
      <xdr:colOff>161925</xdr:colOff>
      <xdr:row>22</xdr:row>
      <xdr:rowOff>66675</xdr:rowOff>
    </xdr:to>
    <xdr:grpSp>
      <xdr:nvGrpSpPr>
        <xdr:cNvPr id="126" name="Group 4640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GrpSpPr>
          <a:grpSpLocks noChangeAspect="1"/>
        </xdr:cNvGrpSpPr>
      </xdr:nvGrpSpPr>
      <xdr:grpSpPr bwMode="auto">
        <a:xfrm>
          <a:off x="9170458" y="4114800"/>
          <a:ext cx="304800" cy="142875"/>
          <a:chOff x="1491" y="181"/>
          <a:chExt cx="43" cy="21"/>
        </a:xfrm>
      </xdr:grpSpPr>
      <xdr:sp macro="" textlink="">
        <xdr:nvSpPr>
          <xdr:cNvPr id="127" name="Line 4641">
            <a:extLst>
              <a:ext uri="{FF2B5EF4-FFF2-40B4-BE49-F238E27FC236}">
                <a16:creationId xmlns:a16="http://schemas.microsoft.com/office/drawing/2014/main" id="{00000000-0008-0000-0000-00007F000000}"/>
              </a:ext>
            </a:extLst>
          </xdr:cNvPr>
          <xdr:cNvSpPr>
            <a:spLocks noChangeAspect="1" noChangeShapeType="1"/>
          </xdr:cNvSpPr>
        </xdr:nvSpPr>
        <xdr:spPr bwMode="auto">
          <a:xfrm>
            <a:off x="1491" y="181"/>
            <a:ext cx="43" cy="0"/>
          </a:xfrm>
          <a:prstGeom prst="line">
            <a:avLst/>
          </a:prstGeom>
          <a:noFill/>
          <a:ln w="190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28" name="Line 4642">
            <a:extLst>
              <a:ext uri="{FF2B5EF4-FFF2-40B4-BE49-F238E27FC236}">
                <a16:creationId xmlns:a16="http://schemas.microsoft.com/office/drawing/2014/main" id="{00000000-0008-0000-0000-000080000000}"/>
              </a:ext>
            </a:extLst>
          </xdr:cNvPr>
          <xdr:cNvSpPr>
            <a:spLocks noChangeAspect="1" noChangeShapeType="1"/>
          </xdr:cNvSpPr>
        </xdr:nvSpPr>
        <xdr:spPr bwMode="auto">
          <a:xfrm>
            <a:off x="1491" y="202"/>
            <a:ext cx="43" cy="0"/>
          </a:xfrm>
          <a:prstGeom prst="line">
            <a:avLst/>
          </a:prstGeom>
          <a:noFill/>
          <a:ln w="190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/>
  </xdr:twoCellAnchor>
  <xdr:twoCellAnchor>
    <xdr:from>
      <xdr:col>49</xdr:col>
      <xdr:colOff>9525</xdr:colOff>
      <xdr:row>15</xdr:row>
      <xdr:rowOff>57150</xdr:rowOff>
    </xdr:from>
    <xdr:to>
      <xdr:col>49</xdr:col>
      <xdr:colOff>9525</xdr:colOff>
      <xdr:row>21</xdr:row>
      <xdr:rowOff>123825</xdr:rowOff>
    </xdr:to>
    <xdr:sp macro="" textlink="">
      <xdr:nvSpPr>
        <xdr:cNvPr id="129" name="Line 3986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>
          <a:spLocks noChangeShapeType="1"/>
        </xdr:cNvSpPr>
      </xdr:nvSpPr>
      <xdr:spPr bwMode="auto">
        <a:xfrm flipH="1" flipV="1">
          <a:off x="9324975" y="2914650"/>
          <a:ext cx="0" cy="1209675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49</xdr:col>
      <xdr:colOff>9525</xdr:colOff>
      <xdr:row>11</xdr:row>
      <xdr:rowOff>0</xdr:rowOff>
    </xdr:from>
    <xdr:to>
      <xdr:col>49</xdr:col>
      <xdr:colOff>9525</xdr:colOff>
      <xdr:row>13</xdr:row>
      <xdr:rowOff>114300</xdr:rowOff>
    </xdr:to>
    <xdr:sp macro="" textlink="">
      <xdr:nvSpPr>
        <xdr:cNvPr id="130" name="Line 3986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>
          <a:spLocks noChangeShapeType="1"/>
        </xdr:cNvSpPr>
      </xdr:nvSpPr>
      <xdr:spPr bwMode="auto">
        <a:xfrm flipV="1">
          <a:off x="9324975" y="2095500"/>
          <a:ext cx="0" cy="49530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49</xdr:col>
      <xdr:colOff>9525</xdr:colOff>
      <xdr:row>22</xdr:row>
      <xdr:rowOff>114300</xdr:rowOff>
    </xdr:from>
    <xdr:to>
      <xdr:col>49</xdr:col>
      <xdr:colOff>9525</xdr:colOff>
      <xdr:row>27</xdr:row>
      <xdr:rowOff>28575</xdr:rowOff>
    </xdr:to>
    <xdr:sp macro="" textlink="">
      <xdr:nvSpPr>
        <xdr:cNvPr id="131" name="Line 3986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>
          <a:spLocks noChangeShapeType="1"/>
        </xdr:cNvSpPr>
      </xdr:nvSpPr>
      <xdr:spPr bwMode="auto">
        <a:xfrm flipV="1">
          <a:off x="9324975" y="4305300"/>
          <a:ext cx="0" cy="866775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48</xdr:col>
      <xdr:colOff>171450</xdr:colOff>
      <xdr:row>18</xdr:row>
      <xdr:rowOff>142875</xdr:rowOff>
    </xdr:from>
    <xdr:to>
      <xdr:col>49</xdr:col>
      <xdr:colOff>66675</xdr:colOff>
      <xdr:row>19</xdr:row>
      <xdr:rowOff>38100</xdr:rowOff>
    </xdr:to>
    <xdr:sp macro="" textlink="">
      <xdr:nvSpPr>
        <xdr:cNvPr id="132" name="Oval 4848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>
          <a:spLocks noChangeArrowheads="1"/>
        </xdr:cNvSpPr>
      </xdr:nvSpPr>
      <xdr:spPr bwMode="auto">
        <a:xfrm>
          <a:off x="9296400" y="3571875"/>
          <a:ext cx="85725" cy="8572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48</xdr:col>
      <xdr:colOff>152400</xdr:colOff>
      <xdr:row>26</xdr:row>
      <xdr:rowOff>142875</xdr:rowOff>
    </xdr:from>
    <xdr:to>
      <xdr:col>49</xdr:col>
      <xdr:colOff>47625</xdr:colOff>
      <xdr:row>27</xdr:row>
      <xdr:rowOff>38100</xdr:rowOff>
    </xdr:to>
    <xdr:sp macro="" textlink="">
      <xdr:nvSpPr>
        <xdr:cNvPr id="133" name="Oval 4848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>
          <a:spLocks noChangeArrowheads="1"/>
        </xdr:cNvSpPr>
      </xdr:nvSpPr>
      <xdr:spPr bwMode="auto">
        <a:xfrm>
          <a:off x="9277350" y="5095875"/>
          <a:ext cx="85725" cy="8572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51</xdr:col>
      <xdr:colOff>85725</xdr:colOff>
      <xdr:row>20</xdr:row>
      <xdr:rowOff>66675</xdr:rowOff>
    </xdr:from>
    <xdr:to>
      <xdr:col>52</xdr:col>
      <xdr:colOff>104775</xdr:colOff>
      <xdr:row>22</xdr:row>
      <xdr:rowOff>133350</xdr:rowOff>
    </xdr:to>
    <xdr:grpSp>
      <xdr:nvGrpSpPr>
        <xdr:cNvPr id="134" name="Group 3972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GrpSpPr>
          <a:grpSpLocks/>
        </xdr:cNvGrpSpPr>
      </xdr:nvGrpSpPr>
      <xdr:grpSpPr bwMode="auto">
        <a:xfrm>
          <a:off x="9780058" y="3876675"/>
          <a:ext cx="209550" cy="447675"/>
          <a:chOff x="1788" y="432"/>
          <a:chExt cx="22" cy="47"/>
        </a:xfrm>
      </xdr:grpSpPr>
      <xdr:sp macro="" textlink="">
        <xdr:nvSpPr>
          <xdr:cNvPr id="135" name="Line 3973">
            <a:extLst>
              <a:ext uri="{FF2B5EF4-FFF2-40B4-BE49-F238E27FC236}">
                <a16:creationId xmlns:a16="http://schemas.microsoft.com/office/drawing/2014/main" id="{00000000-0008-0000-0000-000087000000}"/>
              </a:ext>
            </a:extLst>
          </xdr:cNvPr>
          <xdr:cNvSpPr>
            <a:spLocks noChangeAspect="1" noChangeShapeType="1"/>
          </xdr:cNvSpPr>
        </xdr:nvSpPr>
        <xdr:spPr bwMode="auto">
          <a:xfrm rot="10800000">
            <a:off x="1799" y="445"/>
            <a:ext cx="11" cy="3"/>
          </a:xfrm>
          <a:prstGeom prst="line">
            <a:avLst/>
          </a:prstGeom>
          <a:noFill/>
          <a:ln w="190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6" name="Line 3974">
            <a:extLst>
              <a:ext uri="{FF2B5EF4-FFF2-40B4-BE49-F238E27FC236}">
                <a16:creationId xmlns:a16="http://schemas.microsoft.com/office/drawing/2014/main" id="{00000000-0008-0000-0000-000088000000}"/>
              </a:ext>
            </a:extLst>
          </xdr:cNvPr>
          <xdr:cNvSpPr>
            <a:spLocks noChangeAspect="1" noChangeShapeType="1"/>
          </xdr:cNvSpPr>
        </xdr:nvSpPr>
        <xdr:spPr bwMode="auto">
          <a:xfrm rot="10800000" flipV="1">
            <a:off x="1788" y="448"/>
            <a:ext cx="22" cy="6"/>
          </a:xfrm>
          <a:prstGeom prst="line">
            <a:avLst/>
          </a:prstGeom>
          <a:noFill/>
          <a:ln w="190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7" name="Line 3975">
            <a:extLst>
              <a:ext uri="{FF2B5EF4-FFF2-40B4-BE49-F238E27FC236}">
                <a16:creationId xmlns:a16="http://schemas.microsoft.com/office/drawing/2014/main" id="{00000000-0008-0000-0000-000089000000}"/>
              </a:ext>
            </a:extLst>
          </xdr:cNvPr>
          <xdr:cNvSpPr>
            <a:spLocks noChangeAspect="1" noChangeShapeType="1"/>
          </xdr:cNvSpPr>
        </xdr:nvSpPr>
        <xdr:spPr bwMode="auto">
          <a:xfrm rot="10800000">
            <a:off x="1788" y="454"/>
            <a:ext cx="22" cy="5"/>
          </a:xfrm>
          <a:prstGeom prst="line">
            <a:avLst/>
          </a:prstGeom>
          <a:noFill/>
          <a:ln w="190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8" name="Line 3976">
            <a:extLst>
              <a:ext uri="{FF2B5EF4-FFF2-40B4-BE49-F238E27FC236}">
                <a16:creationId xmlns:a16="http://schemas.microsoft.com/office/drawing/2014/main" id="{00000000-0008-0000-0000-00008A000000}"/>
              </a:ext>
            </a:extLst>
          </xdr:cNvPr>
          <xdr:cNvSpPr>
            <a:spLocks noChangeAspect="1" noChangeShapeType="1"/>
          </xdr:cNvSpPr>
        </xdr:nvSpPr>
        <xdr:spPr bwMode="auto">
          <a:xfrm rot="10800000" flipV="1">
            <a:off x="1788" y="459"/>
            <a:ext cx="22" cy="6"/>
          </a:xfrm>
          <a:prstGeom prst="line">
            <a:avLst/>
          </a:prstGeom>
          <a:noFill/>
          <a:ln w="190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9" name="Line 3977">
            <a:extLst>
              <a:ext uri="{FF2B5EF4-FFF2-40B4-BE49-F238E27FC236}">
                <a16:creationId xmlns:a16="http://schemas.microsoft.com/office/drawing/2014/main" id="{00000000-0008-0000-0000-00008B000000}"/>
              </a:ext>
            </a:extLst>
          </xdr:cNvPr>
          <xdr:cNvSpPr>
            <a:spLocks noChangeAspect="1" noChangeShapeType="1"/>
          </xdr:cNvSpPr>
        </xdr:nvSpPr>
        <xdr:spPr bwMode="auto">
          <a:xfrm rot="10800000">
            <a:off x="1788" y="465"/>
            <a:ext cx="22" cy="5"/>
          </a:xfrm>
          <a:prstGeom prst="line">
            <a:avLst/>
          </a:prstGeom>
          <a:noFill/>
          <a:ln w="190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0" name="Line 3978">
            <a:extLst>
              <a:ext uri="{FF2B5EF4-FFF2-40B4-BE49-F238E27FC236}">
                <a16:creationId xmlns:a16="http://schemas.microsoft.com/office/drawing/2014/main" id="{00000000-0008-0000-0000-00008C000000}"/>
              </a:ext>
            </a:extLst>
          </xdr:cNvPr>
          <xdr:cNvSpPr>
            <a:spLocks noChangeAspect="1" noChangeShapeType="1"/>
          </xdr:cNvSpPr>
        </xdr:nvSpPr>
        <xdr:spPr bwMode="auto">
          <a:xfrm rot="10800000" flipV="1">
            <a:off x="1788" y="470"/>
            <a:ext cx="22" cy="6"/>
          </a:xfrm>
          <a:prstGeom prst="line">
            <a:avLst/>
          </a:prstGeom>
          <a:noFill/>
          <a:ln w="190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1" name="Line 3979">
            <a:extLst>
              <a:ext uri="{FF2B5EF4-FFF2-40B4-BE49-F238E27FC236}">
                <a16:creationId xmlns:a16="http://schemas.microsoft.com/office/drawing/2014/main" id="{00000000-0008-0000-0000-00008D000000}"/>
              </a:ext>
            </a:extLst>
          </xdr:cNvPr>
          <xdr:cNvSpPr>
            <a:spLocks noChangeAspect="1" noChangeShapeType="1"/>
          </xdr:cNvSpPr>
        </xdr:nvSpPr>
        <xdr:spPr bwMode="auto">
          <a:xfrm rot="10800000">
            <a:off x="1788" y="476"/>
            <a:ext cx="11" cy="3"/>
          </a:xfrm>
          <a:prstGeom prst="line">
            <a:avLst/>
          </a:prstGeom>
          <a:noFill/>
          <a:ln w="190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2" name="Line 3980">
            <a:extLst>
              <a:ext uri="{FF2B5EF4-FFF2-40B4-BE49-F238E27FC236}">
                <a16:creationId xmlns:a16="http://schemas.microsoft.com/office/drawing/2014/main" id="{00000000-0008-0000-0000-00008E000000}"/>
              </a:ext>
            </a:extLst>
          </xdr:cNvPr>
          <xdr:cNvSpPr>
            <a:spLocks noChangeAspect="1" noChangeShapeType="1"/>
          </xdr:cNvSpPr>
        </xdr:nvSpPr>
        <xdr:spPr bwMode="auto">
          <a:xfrm rot="10800000">
            <a:off x="1799" y="432"/>
            <a:ext cx="0" cy="14"/>
          </a:xfrm>
          <a:prstGeom prst="line">
            <a:avLst/>
          </a:prstGeom>
          <a:noFill/>
          <a:ln w="190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49</xdr:col>
      <xdr:colOff>9525</xdr:colOff>
      <xdr:row>19</xdr:row>
      <xdr:rowOff>0</xdr:rowOff>
    </xdr:from>
    <xdr:to>
      <xdr:col>51</xdr:col>
      <xdr:colOff>190500</xdr:colOff>
      <xdr:row>20</xdr:row>
      <xdr:rowOff>76200</xdr:rowOff>
    </xdr:to>
    <xdr:sp macro="" textlink="">
      <xdr:nvSpPr>
        <xdr:cNvPr id="143" name="Freeform 3956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>
          <a:spLocks/>
        </xdr:cNvSpPr>
      </xdr:nvSpPr>
      <xdr:spPr bwMode="auto">
        <a:xfrm>
          <a:off x="9324975" y="3619500"/>
          <a:ext cx="561975" cy="266700"/>
        </a:xfrm>
        <a:custGeom>
          <a:avLst/>
          <a:gdLst>
            <a:gd name="T0" fmla="*/ 0 w 160"/>
            <a:gd name="T1" fmla="*/ 0 h 84"/>
            <a:gd name="T2" fmla="*/ 2147483647 w 160"/>
            <a:gd name="T3" fmla="*/ 0 h 84"/>
            <a:gd name="T4" fmla="*/ 2147483647 w 160"/>
            <a:gd name="T5" fmla="*/ 2147483647 h 84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160" h="84">
              <a:moveTo>
                <a:pt x="0" y="0"/>
              </a:moveTo>
              <a:lnTo>
                <a:pt x="160" y="0"/>
              </a:lnTo>
              <a:lnTo>
                <a:pt x="160" y="84"/>
              </a:lnTo>
            </a:path>
          </a:pathLst>
        </a:custGeom>
        <a:noFill/>
        <a:ln w="19050" cap="flat" cmpd="sng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51</xdr:col>
      <xdr:colOff>190500</xdr:colOff>
      <xdr:row>22</xdr:row>
      <xdr:rowOff>133350</xdr:rowOff>
    </xdr:from>
    <xdr:to>
      <xdr:col>51</xdr:col>
      <xdr:colOff>190500</xdr:colOff>
      <xdr:row>26</xdr:row>
      <xdr:rowOff>180975</xdr:rowOff>
    </xdr:to>
    <xdr:sp macro="" textlink="">
      <xdr:nvSpPr>
        <xdr:cNvPr id="144" name="Line 3986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>
          <a:spLocks noChangeShapeType="1"/>
        </xdr:cNvSpPr>
      </xdr:nvSpPr>
      <xdr:spPr bwMode="auto">
        <a:xfrm flipV="1">
          <a:off x="9886950" y="4324350"/>
          <a:ext cx="0" cy="809625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48</xdr:col>
      <xdr:colOff>161925</xdr:colOff>
      <xdr:row>18</xdr:row>
      <xdr:rowOff>142875</xdr:rowOff>
    </xdr:from>
    <xdr:to>
      <xdr:col>49</xdr:col>
      <xdr:colOff>57150</xdr:colOff>
      <xdr:row>19</xdr:row>
      <xdr:rowOff>38100</xdr:rowOff>
    </xdr:to>
    <xdr:sp macro="" textlink="">
      <xdr:nvSpPr>
        <xdr:cNvPr id="145" name="Oval 4848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>
          <a:spLocks noChangeArrowheads="1"/>
        </xdr:cNvSpPr>
      </xdr:nvSpPr>
      <xdr:spPr bwMode="auto">
        <a:xfrm>
          <a:off x="9286875" y="3571875"/>
          <a:ext cx="85725" cy="8572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51</xdr:col>
      <xdr:colOff>123825</xdr:colOff>
      <xdr:row>26</xdr:row>
      <xdr:rowOff>142875</xdr:rowOff>
    </xdr:from>
    <xdr:to>
      <xdr:col>52</xdr:col>
      <xdr:colOff>19050</xdr:colOff>
      <xdr:row>27</xdr:row>
      <xdr:rowOff>38100</xdr:rowOff>
    </xdr:to>
    <xdr:sp macro="" textlink="">
      <xdr:nvSpPr>
        <xdr:cNvPr id="146" name="Oval 4848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>
          <a:spLocks noChangeArrowheads="1"/>
        </xdr:cNvSpPr>
      </xdr:nvSpPr>
      <xdr:spPr bwMode="auto">
        <a:xfrm>
          <a:off x="9820275" y="5095875"/>
          <a:ext cx="85725" cy="8572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62</xdr:col>
      <xdr:colOff>19050</xdr:colOff>
      <xdr:row>21</xdr:row>
      <xdr:rowOff>104775</xdr:rowOff>
    </xdr:from>
    <xdr:to>
      <xdr:col>63</xdr:col>
      <xdr:colOff>133350</xdr:colOff>
      <xdr:row>22</xdr:row>
      <xdr:rowOff>57150</xdr:rowOff>
    </xdr:to>
    <xdr:grpSp>
      <xdr:nvGrpSpPr>
        <xdr:cNvPr id="147" name="Group 4640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GrpSpPr>
          <a:grpSpLocks noChangeAspect="1"/>
        </xdr:cNvGrpSpPr>
      </xdr:nvGrpSpPr>
      <xdr:grpSpPr bwMode="auto">
        <a:xfrm>
          <a:off x="11808883" y="4105275"/>
          <a:ext cx="304800" cy="142875"/>
          <a:chOff x="1491" y="181"/>
          <a:chExt cx="43" cy="21"/>
        </a:xfrm>
      </xdr:grpSpPr>
      <xdr:sp macro="" textlink="">
        <xdr:nvSpPr>
          <xdr:cNvPr id="148" name="Line 4641">
            <a:extLst>
              <a:ext uri="{FF2B5EF4-FFF2-40B4-BE49-F238E27FC236}">
                <a16:creationId xmlns:a16="http://schemas.microsoft.com/office/drawing/2014/main" id="{00000000-0008-0000-0000-000094000000}"/>
              </a:ext>
            </a:extLst>
          </xdr:cNvPr>
          <xdr:cNvSpPr>
            <a:spLocks noChangeAspect="1" noChangeShapeType="1"/>
          </xdr:cNvSpPr>
        </xdr:nvSpPr>
        <xdr:spPr bwMode="auto">
          <a:xfrm>
            <a:off x="1491" y="181"/>
            <a:ext cx="43" cy="0"/>
          </a:xfrm>
          <a:prstGeom prst="line">
            <a:avLst/>
          </a:prstGeom>
          <a:noFill/>
          <a:ln w="190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49" name="Line 4642">
            <a:extLst>
              <a:ext uri="{FF2B5EF4-FFF2-40B4-BE49-F238E27FC236}">
                <a16:creationId xmlns:a16="http://schemas.microsoft.com/office/drawing/2014/main" id="{00000000-0008-0000-0000-000095000000}"/>
              </a:ext>
            </a:extLst>
          </xdr:cNvPr>
          <xdr:cNvSpPr>
            <a:spLocks noChangeAspect="1" noChangeShapeType="1"/>
          </xdr:cNvSpPr>
        </xdr:nvSpPr>
        <xdr:spPr bwMode="auto">
          <a:xfrm>
            <a:off x="1491" y="202"/>
            <a:ext cx="43" cy="0"/>
          </a:xfrm>
          <a:prstGeom prst="line">
            <a:avLst/>
          </a:prstGeom>
          <a:noFill/>
          <a:ln w="190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/>
  </xdr:twoCellAnchor>
  <xdr:twoCellAnchor>
    <xdr:from>
      <xdr:col>62</xdr:col>
      <xdr:colOff>171450</xdr:colOff>
      <xdr:row>11</xdr:row>
      <xdr:rowOff>28575</xdr:rowOff>
    </xdr:from>
    <xdr:to>
      <xdr:col>62</xdr:col>
      <xdr:colOff>171450</xdr:colOff>
      <xdr:row>21</xdr:row>
      <xdr:rowOff>104775</xdr:rowOff>
    </xdr:to>
    <xdr:sp macro="" textlink="">
      <xdr:nvSpPr>
        <xdr:cNvPr id="150" name="Line 3986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>
          <a:spLocks noChangeShapeType="1"/>
        </xdr:cNvSpPr>
      </xdr:nvSpPr>
      <xdr:spPr bwMode="auto">
        <a:xfrm flipV="1">
          <a:off x="11963400" y="2124075"/>
          <a:ext cx="0" cy="198120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62</xdr:col>
      <xdr:colOff>171450</xdr:colOff>
      <xdr:row>22</xdr:row>
      <xdr:rowOff>104775</xdr:rowOff>
    </xdr:from>
    <xdr:to>
      <xdr:col>62</xdr:col>
      <xdr:colOff>171450</xdr:colOff>
      <xdr:row>27</xdr:row>
      <xdr:rowOff>19050</xdr:rowOff>
    </xdr:to>
    <xdr:sp macro="" textlink="">
      <xdr:nvSpPr>
        <xdr:cNvPr id="151" name="Line 3986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>
          <a:spLocks noChangeShapeType="1"/>
        </xdr:cNvSpPr>
      </xdr:nvSpPr>
      <xdr:spPr bwMode="auto">
        <a:xfrm flipV="1">
          <a:off x="11963400" y="4295775"/>
          <a:ext cx="0" cy="866775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70</xdr:col>
      <xdr:colOff>123825</xdr:colOff>
      <xdr:row>20</xdr:row>
      <xdr:rowOff>123825</xdr:rowOff>
    </xdr:from>
    <xdr:to>
      <xdr:col>71</xdr:col>
      <xdr:colOff>142875</xdr:colOff>
      <xdr:row>23</xdr:row>
      <xdr:rowOff>0</xdr:rowOff>
    </xdr:to>
    <xdr:grpSp>
      <xdr:nvGrpSpPr>
        <xdr:cNvPr id="152" name="Group 4836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GrpSpPr>
          <a:grpSpLocks/>
        </xdr:cNvGrpSpPr>
      </xdr:nvGrpSpPr>
      <xdr:grpSpPr bwMode="auto">
        <a:xfrm>
          <a:off x="13437658" y="3933825"/>
          <a:ext cx="209550" cy="447675"/>
          <a:chOff x="1788" y="432"/>
          <a:chExt cx="22" cy="47"/>
        </a:xfrm>
      </xdr:grpSpPr>
      <xdr:sp macro="" textlink="">
        <xdr:nvSpPr>
          <xdr:cNvPr id="153" name="Line 4837">
            <a:extLst>
              <a:ext uri="{FF2B5EF4-FFF2-40B4-BE49-F238E27FC236}">
                <a16:creationId xmlns:a16="http://schemas.microsoft.com/office/drawing/2014/main" id="{00000000-0008-0000-0000-000099000000}"/>
              </a:ext>
            </a:extLst>
          </xdr:cNvPr>
          <xdr:cNvSpPr>
            <a:spLocks noChangeAspect="1" noChangeShapeType="1"/>
          </xdr:cNvSpPr>
        </xdr:nvSpPr>
        <xdr:spPr bwMode="auto">
          <a:xfrm rot="10800000">
            <a:off x="1799" y="445"/>
            <a:ext cx="11" cy="3"/>
          </a:xfrm>
          <a:prstGeom prst="line">
            <a:avLst/>
          </a:prstGeom>
          <a:noFill/>
          <a:ln w="190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4" name="Line 4838">
            <a:extLst>
              <a:ext uri="{FF2B5EF4-FFF2-40B4-BE49-F238E27FC236}">
                <a16:creationId xmlns:a16="http://schemas.microsoft.com/office/drawing/2014/main" id="{00000000-0008-0000-0000-00009A000000}"/>
              </a:ext>
            </a:extLst>
          </xdr:cNvPr>
          <xdr:cNvSpPr>
            <a:spLocks noChangeAspect="1" noChangeShapeType="1"/>
          </xdr:cNvSpPr>
        </xdr:nvSpPr>
        <xdr:spPr bwMode="auto">
          <a:xfrm rot="10800000" flipV="1">
            <a:off x="1788" y="448"/>
            <a:ext cx="22" cy="6"/>
          </a:xfrm>
          <a:prstGeom prst="line">
            <a:avLst/>
          </a:prstGeom>
          <a:noFill/>
          <a:ln w="190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5" name="Line 4839">
            <a:extLst>
              <a:ext uri="{FF2B5EF4-FFF2-40B4-BE49-F238E27FC236}">
                <a16:creationId xmlns:a16="http://schemas.microsoft.com/office/drawing/2014/main" id="{00000000-0008-0000-0000-00009B000000}"/>
              </a:ext>
            </a:extLst>
          </xdr:cNvPr>
          <xdr:cNvSpPr>
            <a:spLocks noChangeAspect="1" noChangeShapeType="1"/>
          </xdr:cNvSpPr>
        </xdr:nvSpPr>
        <xdr:spPr bwMode="auto">
          <a:xfrm rot="10800000">
            <a:off x="1788" y="454"/>
            <a:ext cx="22" cy="5"/>
          </a:xfrm>
          <a:prstGeom prst="line">
            <a:avLst/>
          </a:prstGeom>
          <a:noFill/>
          <a:ln w="190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6" name="Line 4840">
            <a:extLst>
              <a:ext uri="{FF2B5EF4-FFF2-40B4-BE49-F238E27FC236}">
                <a16:creationId xmlns:a16="http://schemas.microsoft.com/office/drawing/2014/main" id="{00000000-0008-0000-0000-00009C000000}"/>
              </a:ext>
            </a:extLst>
          </xdr:cNvPr>
          <xdr:cNvSpPr>
            <a:spLocks noChangeAspect="1" noChangeShapeType="1"/>
          </xdr:cNvSpPr>
        </xdr:nvSpPr>
        <xdr:spPr bwMode="auto">
          <a:xfrm rot="10800000" flipV="1">
            <a:off x="1788" y="459"/>
            <a:ext cx="22" cy="6"/>
          </a:xfrm>
          <a:prstGeom prst="line">
            <a:avLst/>
          </a:prstGeom>
          <a:noFill/>
          <a:ln w="190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7" name="Line 4841">
            <a:extLst>
              <a:ext uri="{FF2B5EF4-FFF2-40B4-BE49-F238E27FC236}">
                <a16:creationId xmlns:a16="http://schemas.microsoft.com/office/drawing/2014/main" id="{00000000-0008-0000-0000-00009D000000}"/>
              </a:ext>
            </a:extLst>
          </xdr:cNvPr>
          <xdr:cNvSpPr>
            <a:spLocks noChangeAspect="1" noChangeShapeType="1"/>
          </xdr:cNvSpPr>
        </xdr:nvSpPr>
        <xdr:spPr bwMode="auto">
          <a:xfrm rot="10800000">
            <a:off x="1788" y="465"/>
            <a:ext cx="22" cy="5"/>
          </a:xfrm>
          <a:prstGeom prst="line">
            <a:avLst/>
          </a:prstGeom>
          <a:noFill/>
          <a:ln w="190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8" name="Line 4842">
            <a:extLst>
              <a:ext uri="{FF2B5EF4-FFF2-40B4-BE49-F238E27FC236}">
                <a16:creationId xmlns:a16="http://schemas.microsoft.com/office/drawing/2014/main" id="{00000000-0008-0000-0000-00009E000000}"/>
              </a:ext>
            </a:extLst>
          </xdr:cNvPr>
          <xdr:cNvSpPr>
            <a:spLocks noChangeAspect="1" noChangeShapeType="1"/>
          </xdr:cNvSpPr>
        </xdr:nvSpPr>
        <xdr:spPr bwMode="auto">
          <a:xfrm rot="10800000" flipV="1">
            <a:off x="1788" y="470"/>
            <a:ext cx="22" cy="6"/>
          </a:xfrm>
          <a:prstGeom prst="line">
            <a:avLst/>
          </a:prstGeom>
          <a:noFill/>
          <a:ln w="190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9" name="Line 4843">
            <a:extLst>
              <a:ext uri="{FF2B5EF4-FFF2-40B4-BE49-F238E27FC236}">
                <a16:creationId xmlns:a16="http://schemas.microsoft.com/office/drawing/2014/main" id="{00000000-0008-0000-0000-00009F000000}"/>
              </a:ext>
            </a:extLst>
          </xdr:cNvPr>
          <xdr:cNvSpPr>
            <a:spLocks noChangeAspect="1" noChangeShapeType="1"/>
          </xdr:cNvSpPr>
        </xdr:nvSpPr>
        <xdr:spPr bwMode="auto">
          <a:xfrm rot="10800000">
            <a:off x="1788" y="476"/>
            <a:ext cx="11" cy="3"/>
          </a:xfrm>
          <a:prstGeom prst="line">
            <a:avLst/>
          </a:prstGeom>
          <a:noFill/>
          <a:ln w="190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60" name="Line 4844">
            <a:extLst>
              <a:ext uri="{FF2B5EF4-FFF2-40B4-BE49-F238E27FC236}">
                <a16:creationId xmlns:a16="http://schemas.microsoft.com/office/drawing/2014/main" id="{00000000-0008-0000-0000-0000A0000000}"/>
              </a:ext>
            </a:extLst>
          </xdr:cNvPr>
          <xdr:cNvSpPr>
            <a:spLocks noChangeAspect="1" noChangeShapeType="1"/>
          </xdr:cNvSpPr>
        </xdr:nvSpPr>
        <xdr:spPr bwMode="auto">
          <a:xfrm rot="10800000">
            <a:off x="1799" y="432"/>
            <a:ext cx="0" cy="14"/>
          </a:xfrm>
          <a:prstGeom prst="line">
            <a:avLst/>
          </a:prstGeom>
          <a:noFill/>
          <a:ln w="190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71</xdr:col>
      <xdr:colOff>38100</xdr:colOff>
      <xdr:row>10</xdr:row>
      <xdr:rowOff>190500</xdr:rowOff>
    </xdr:from>
    <xdr:to>
      <xdr:col>71</xdr:col>
      <xdr:colOff>38100</xdr:colOff>
      <xdr:row>20</xdr:row>
      <xdr:rowOff>142875</xdr:rowOff>
    </xdr:to>
    <xdr:sp macro="" textlink="">
      <xdr:nvSpPr>
        <xdr:cNvPr id="161" name="Line 4847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>
          <a:spLocks noChangeShapeType="1"/>
        </xdr:cNvSpPr>
      </xdr:nvSpPr>
      <xdr:spPr bwMode="auto">
        <a:xfrm>
          <a:off x="13544550" y="2095500"/>
          <a:ext cx="0" cy="1857375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62</xdr:col>
      <xdr:colOff>114300</xdr:colOff>
      <xdr:row>3</xdr:row>
      <xdr:rowOff>170391</xdr:rowOff>
    </xdr:from>
    <xdr:to>
      <xdr:col>63</xdr:col>
      <xdr:colOff>9525</xdr:colOff>
      <xdr:row>4</xdr:row>
      <xdr:rowOff>65616</xdr:rowOff>
    </xdr:to>
    <xdr:sp macro="" textlink="">
      <xdr:nvSpPr>
        <xdr:cNvPr id="162" name="Oval 4848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>
          <a:spLocks noChangeArrowheads="1"/>
        </xdr:cNvSpPr>
      </xdr:nvSpPr>
      <xdr:spPr bwMode="auto">
        <a:xfrm>
          <a:off x="11904133" y="741891"/>
          <a:ext cx="85725" cy="8572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71</xdr:col>
      <xdr:colOff>38100</xdr:colOff>
      <xdr:row>22</xdr:row>
      <xdr:rowOff>190500</xdr:rowOff>
    </xdr:from>
    <xdr:to>
      <xdr:col>71</xdr:col>
      <xdr:colOff>38100</xdr:colOff>
      <xdr:row>26</xdr:row>
      <xdr:rowOff>171450</xdr:rowOff>
    </xdr:to>
    <xdr:sp macro="" textlink="">
      <xdr:nvSpPr>
        <xdr:cNvPr id="163" name="Line 4850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>
          <a:spLocks noChangeShapeType="1"/>
        </xdr:cNvSpPr>
      </xdr:nvSpPr>
      <xdr:spPr bwMode="auto">
        <a:xfrm>
          <a:off x="13544550" y="4381500"/>
          <a:ext cx="0" cy="74295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71</xdr:col>
      <xdr:colOff>0</xdr:colOff>
      <xdr:row>26</xdr:row>
      <xdr:rowOff>149226</xdr:rowOff>
    </xdr:from>
    <xdr:to>
      <xdr:col>71</xdr:col>
      <xdr:colOff>85725</xdr:colOff>
      <xdr:row>27</xdr:row>
      <xdr:rowOff>44451</xdr:rowOff>
    </xdr:to>
    <xdr:sp macro="" textlink="">
      <xdr:nvSpPr>
        <xdr:cNvPr id="164" name="Oval 4000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>
          <a:spLocks noChangeArrowheads="1"/>
        </xdr:cNvSpPr>
      </xdr:nvSpPr>
      <xdr:spPr bwMode="auto">
        <a:xfrm>
          <a:off x="13504333" y="5102226"/>
          <a:ext cx="85725" cy="8572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10</xdr:col>
      <xdr:colOff>142875</xdr:colOff>
      <xdr:row>7</xdr:row>
      <xdr:rowOff>76200</xdr:rowOff>
    </xdr:from>
    <xdr:to>
      <xdr:col>13</xdr:col>
      <xdr:colOff>161925</xdr:colOff>
      <xdr:row>8</xdr:row>
      <xdr:rowOff>95250</xdr:rowOff>
    </xdr:to>
    <xdr:grpSp>
      <xdr:nvGrpSpPr>
        <xdr:cNvPr id="165" name="Group 4624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GrpSpPr>
          <a:grpSpLocks/>
        </xdr:cNvGrpSpPr>
      </xdr:nvGrpSpPr>
      <xdr:grpSpPr bwMode="auto">
        <a:xfrm>
          <a:off x="2037292" y="1409700"/>
          <a:ext cx="590550" cy="209550"/>
          <a:chOff x="965" y="749"/>
          <a:chExt cx="62" cy="22"/>
        </a:xfrm>
      </xdr:grpSpPr>
      <xdr:sp macro="" textlink="">
        <xdr:nvSpPr>
          <xdr:cNvPr id="166" name="Line 4625">
            <a:extLst>
              <a:ext uri="{FF2B5EF4-FFF2-40B4-BE49-F238E27FC236}">
                <a16:creationId xmlns:a16="http://schemas.microsoft.com/office/drawing/2014/main" id="{00000000-0008-0000-0000-0000A6000000}"/>
              </a:ext>
            </a:extLst>
          </xdr:cNvPr>
          <xdr:cNvSpPr>
            <a:spLocks noChangeAspect="1" noChangeShapeType="1"/>
          </xdr:cNvSpPr>
        </xdr:nvSpPr>
        <xdr:spPr bwMode="auto">
          <a:xfrm rot="-5400000">
            <a:off x="1006" y="764"/>
            <a:ext cx="11" cy="3"/>
          </a:xfrm>
          <a:prstGeom prst="line">
            <a:avLst/>
          </a:prstGeom>
          <a:noFill/>
          <a:ln w="190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67" name="Line 4626">
            <a:extLst>
              <a:ext uri="{FF2B5EF4-FFF2-40B4-BE49-F238E27FC236}">
                <a16:creationId xmlns:a16="http://schemas.microsoft.com/office/drawing/2014/main" id="{00000000-0008-0000-0000-0000A7000000}"/>
              </a:ext>
            </a:extLst>
          </xdr:cNvPr>
          <xdr:cNvSpPr>
            <a:spLocks noChangeAspect="1" noChangeShapeType="1"/>
          </xdr:cNvSpPr>
        </xdr:nvSpPr>
        <xdr:spPr bwMode="auto">
          <a:xfrm rot="16200000" flipV="1">
            <a:off x="996" y="757"/>
            <a:ext cx="22" cy="6"/>
          </a:xfrm>
          <a:prstGeom prst="line">
            <a:avLst/>
          </a:prstGeom>
          <a:noFill/>
          <a:ln w="190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68" name="Line 4627">
            <a:extLst>
              <a:ext uri="{FF2B5EF4-FFF2-40B4-BE49-F238E27FC236}">
                <a16:creationId xmlns:a16="http://schemas.microsoft.com/office/drawing/2014/main" id="{00000000-0008-0000-0000-0000A8000000}"/>
              </a:ext>
            </a:extLst>
          </xdr:cNvPr>
          <xdr:cNvSpPr>
            <a:spLocks noChangeAspect="1" noChangeShapeType="1"/>
          </xdr:cNvSpPr>
        </xdr:nvSpPr>
        <xdr:spPr bwMode="auto">
          <a:xfrm rot="-5400000">
            <a:off x="990" y="757"/>
            <a:ext cx="22" cy="5"/>
          </a:xfrm>
          <a:prstGeom prst="line">
            <a:avLst/>
          </a:prstGeom>
          <a:noFill/>
          <a:ln w="190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69" name="Line 4628">
            <a:extLst>
              <a:ext uri="{FF2B5EF4-FFF2-40B4-BE49-F238E27FC236}">
                <a16:creationId xmlns:a16="http://schemas.microsoft.com/office/drawing/2014/main" id="{00000000-0008-0000-0000-0000A9000000}"/>
              </a:ext>
            </a:extLst>
          </xdr:cNvPr>
          <xdr:cNvSpPr>
            <a:spLocks noChangeAspect="1" noChangeShapeType="1"/>
          </xdr:cNvSpPr>
        </xdr:nvSpPr>
        <xdr:spPr bwMode="auto">
          <a:xfrm rot="16200000" flipV="1">
            <a:off x="985" y="757"/>
            <a:ext cx="22" cy="6"/>
          </a:xfrm>
          <a:prstGeom prst="line">
            <a:avLst/>
          </a:prstGeom>
          <a:noFill/>
          <a:ln w="190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70" name="Line 4629">
            <a:extLst>
              <a:ext uri="{FF2B5EF4-FFF2-40B4-BE49-F238E27FC236}">
                <a16:creationId xmlns:a16="http://schemas.microsoft.com/office/drawing/2014/main" id="{00000000-0008-0000-0000-0000AA000000}"/>
              </a:ext>
            </a:extLst>
          </xdr:cNvPr>
          <xdr:cNvSpPr>
            <a:spLocks noChangeAspect="1" noChangeShapeType="1"/>
          </xdr:cNvSpPr>
        </xdr:nvSpPr>
        <xdr:spPr bwMode="auto">
          <a:xfrm rot="-5400000">
            <a:off x="979" y="757"/>
            <a:ext cx="22" cy="5"/>
          </a:xfrm>
          <a:prstGeom prst="line">
            <a:avLst/>
          </a:prstGeom>
          <a:noFill/>
          <a:ln w="190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71" name="Line 4630">
            <a:extLst>
              <a:ext uri="{FF2B5EF4-FFF2-40B4-BE49-F238E27FC236}">
                <a16:creationId xmlns:a16="http://schemas.microsoft.com/office/drawing/2014/main" id="{00000000-0008-0000-0000-0000AB000000}"/>
              </a:ext>
            </a:extLst>
          </xdr:cNvPr>
          <xdr:cNvSpPr>
            <a:spLocks noChangeAspect="1" noChangeShapeType="1"/>
          </xdr:cNvSpPr>
        </xdr:nvSpPr>
        <xdr:spPr bwMode="auto">
          <a:xfrm rot="16200000" flipV="1">
            <a:off x="973" y="757"/>
            <a:ext cx="22" cy="6"/>
          </a:xfrm>
          <a:prstGeom prst="line">
            <a:avLst/>
          </a:prstGeom>
          <a:noFill/>
          <a:ln w="190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72" name="Line 4631">
            <a:extLst>
              <a:ext uri="{FF2B5EF4-FFF2-40B4-BE49-F238E27FC236}">
                <a16:creationId xmlns:a16="http://schemas.microsoft.com/office/drawing/2014/main" id="{00000000-0008-0000-0000-0000AC000000}"/>
              </a:ext>
            </a:extLst>
          </xdr:cNvPr>
          <xdr:cNvSpPr>
            <a:spLocks noChangeAspect="1" noChangeShapeType="1"/>
          </xdr:cNvSpPr>
        </xdr:nvSpPr>
        <xdr:spPr bwMode="auto">
          <a:xfrm rot="-5400000">
            <a:off x="974" y="753"/>
            <a:ext cx="11" cy="3"/>
          </a:xfrm>
          <a:prstGeom prst="line">
            <a:avLst/>
          </a:prstGeom>
          <a:noFill/>
          <a:ln w="190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73" name="Line 4632">
            <a:extLst>
              <a:ext uri="{FF2B5EF4-FFF2-40B4-BE49-F238E27FC236}">
                <a16:creationId xmlns:a16="http://schemas.microsoft.com/office/drawing/2014/main" id="{00000000-0008-0000-0000-0000AD000000}"/>
              </a:ext>
            </a:extLst>
          </xdr:cNvPr>
          <xdr:cNvSpPr>
            <a:spLocks noChangeAspect="1" noChangeShapeType="1"/>
          </xdr:cNvSpPr>
        </xdr:nvSpPr>
        <xdr:spPr bwMode="auto">
          <a:xfrm rot="-5400000">
            <a:off x="1020" y="753"/>
            <a:ext cx="0" cy="14"/>
          </a:xfrm>
          <a:prstGeom prst="line">
            <a:avLst/>
          </a:prstGeom>
          <a:noFill/>
          <a:ln w="190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74" name="Line 4633">
            <a:extLst>
              <a:ext uri="{FF2B5EF4-FFF2-40B4-BE49-F238E27FC236}">
                <a16:creationId xmlns:a16="http://schemas.microsoft.com/office/drawing/2014/main" id="{00000000-0008-0000-0000-0000AE000000}"/>
              </a:ext>
            </a:extLst>
          </xdr:cNvPr>
          <xdr:cNvSpPr>
            <a:spLocks noChangeAspect="1" noChangeShapeType="1"/>
          </xdr:cNvSpPr>
        </xdr:nvSpPr>
        <xdr:spPr bwMode="auto">
          <a:xfrm rot="-5400000">
            <a:off x="972" y="753"/>
            <a:ext cx="0" cy="14"/>
          </a:xfrm>
          <a:prstGeom prst="line">
            <a:avLst/>
          </a:prstGeom>
          <a:noFill/>
          <a:ln w="190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10</xdr:col>
      <xdr:colOff>0</xdr:colOff>
      <xdr:row>7</xdr:row>
      <xdr:rowOff>180975</xdr:rowOff>
    </xdr:from>
    <xdr:to>
      <xdr:col>11</xdr:col>
      <xdr:colOff>57150</xdr:colOff>
      <xdr:row>7</xdr:row>
      <xdr:rowOff>180975</xdr:rowOff>
    </xdr:to>
    <xdr:sp macro="" textlink="">
      <xdr:nvSpPr>
        <xdr:cNvPr id="175" name="Line 2250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>
          <a:spLocks noChangeShapeType="1"/>
        </xdr:cNvSpPr>
      </xdr:nvSpPr>
      <xdr:spPr bwMode="auto">
        <a:xfrm>
          <a:off x="1895475" y="1514475"/>
          <a:ext cx="24765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76200</xdr:colOff>
      <xdr:row>6</xdr:row>
      <xdr:rowOff>104775</xdr:rowOff>
    </xdr:from>
    <xdr:to>
      <xdr:col>20</xdr:col>
      <xdr:colOff>57150</xdr:colOff>
      <xdr:row>9</xdr:row>
      <xdr:rowOff>38100</xdr:rowOff>
    </xdr:to>
    <xdr:grpSp>
      <xdr:nvGrpSpPr>
        <xdr:cNvPr id="176" name="Group 3576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GrpSpPr>
          <a:grpSpLocks/>
        </xdr:cNvGrpSpPr>
      </xdr:nvGrpSpPr>
      <xdr:grpSpPr bwMode="auto">
        <a:xfrm>
          <a:off x="3304117" y="1247775"/>
          <a:ext cx="552450" cy="504825"/>
          <a:chOff x="1061" y="1939"/>
          <a:chExt cx="80" cy="39"/>
        </a:xfrm>
      </xdr:grpSpPr>
      <xdr:sp macro="" textlink="">
        <xdr:nvSpPr>
          <xdr:cNvPr id="177" name="Arc 3573">
            <a:extLst>
              <a:ext uri="{FF2B5EF4-FFF2-40B4-BE49-F238E27FC236}">
                <a16:creationId xmlns:a16="http://schemas.microsoft.com/office/drawing/2014/main" id="{00000000-0008-0000-0000-0000B1000000}"/>
              </a:ext>
            </a:extLst>
          </xdr:cNvPr>
          <xdr:cNvSpPr>
            <a:spLocks noChangeAspect="1"/>
          </xdr:cNvSpPr>
        </xdr:nvSpPr>
        <xdr:spPr bwMode="auto">
          <a:xfrm flipH="1">
            <a:off x="1106" y="1939"/>
            <a:ext cx="35" cy="39"/>
          </a:xfrm>
          <a:custGeom>
            <a:avLst/>
            <a:gdLst>
              <a:gd name="T0" fmla="*/ 0 w 43200"/>
              <a:gd name="T1" fmla="*/ 0 h 38263"/>
              <a:gd name="T2" fmla="*/ 0 w 43200"/>
              <a:gd name="T3" fmla="*/ 0 h 38263"/>
              <a:gd name="T4" fmla="*/ 0 w 43200"/>
              <a:gd name="T5" fmla="*/ 0 h 38263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43200" h="38263" fill="none" extrusionOk="0">
                <a:moveTo>
                  <a:pt x="26" y="22673"/>
                </a:moveTo>
                <a:cubicBezTo>
                  <a:pt x="8" y="22315"/>
                  <a:pt x="0" y="21957"/>
                  <a:pt x="0" y="21600"/>
                </a:cubicBezTo>
                <a:cubicBezTo>
                  <a:pt x="0" y="9670"/>
                  <a:pt x="9670" y="0"/>
                  <a:pt x="21600" y="0"/>
                </a:cubicBezTo>
                <a:cubicBezTo>
                  <a:pt x="33529" y="0"/>
                  <a:pt x="43200" y="9670"/>
                  <a:pt x="43200" y="21600"/>
                </a:cubicBezTo>
                <a:cubicBezTo>
                  <a:pt x="43200" y="28048"/>
                  <a:pt x="40318" y="34159"/>
                  <a:pt x="35344" y="38263"/>
                </a:cubicBezTo>
              </a:path>
              <a:path w="43200" h="38263" stroke="0" extrusionOk="0">
                <a:moveTo>
                  <a:pt x="26" y="22673"/>
                </a:moveTo>
                <a:cubicBezTo>
                  <a:pt x="8" y="22315"/>
                  <a:pt x="0" y="21957"/>
                  <a:pt x="0" y="21600"/>
                </a:cubicBezTo>
                <a:cubicBezTo>
                  <a:pt x="0" y="9670"/>
                  <a:pt x="9670" y="0"/>
                  <a:pt x="21600" y="0"/>
                </a:cubicBezTo>
                <a:cubicBezTo>
                  <a:pt x="33529" y="0"/>
                  <a:pt x="43200" y="9670"/>
                  <a:pt x="43200" y="21600"/>
                </a:cubicBezTo>
                <a:cubicBezTo>
                  <a:pt x="43200" y="28048"/>
                  <a:pt x="40318" y="34159"/>
                  <a:pt x="35344" y="38263"/>
                </a:cubicBezTo>
                <a:lnTo>
                  <a:pt x="21600" y="21600"/>
                </a:lnTo>
                <a:lnTo>
                  <a:pt x="26" y="22673"/>
                </a:lnTo>
                <a:close/>
              </a:path>
            </a:pathLst>
          </a:custGeom>
          <a:noFill/>
          <a:ln w="190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CCCCFF" mc:Ignorable="a14" a14:legacySpreadsheetColorIndex="31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78" name="Arc 3574">
            <a:extLst>
              <a:ext uri="{FF2B5EF4-FFF2-40B4-BE49-F238E27FC236}">
                <a16:creationId xmlns:a16="http://schemas.microsoft.com/office/drawing/2014/main" id="{00000000-0008-0000-0000-0000B2000000}"/>
              </a:ext>
            </a:extLst>
          </xdr:cNvPr>
          <xdr:cNvSpPr>
            <a:spLocks noChangeAspect="1"/>
          </xdr:cNvSpPr>
        </xdr:nvSpPr>
        <xdr:spPr bwMode="auto">
          <a:xfrm>
            <a:off x="1085" y="1939"/>
            <a:ext cx="34" cy="39"/>
          </a:xfrm>
          <a:custGeom>
            <a:avLst/>
            <a:gdLst>
              <a:gd name="T0" fmla="*/ 0 w 43200"/>
              <a:gd name="T1" fmla="*/ 0 h 38440"/>
              <a:gd name="T2" fmla="*/ 0 w 43200"/>
              <a:gd name="T3" fmla="*/ 0 h 38440"/>
              <a:gd name="T4" fmla="*/ 0 w 43200"/>
              <a:gd name="T5" fmla="*/ 0 h 3844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43200" h="38440" fill="none" extrusionOk="0">
                <a:moveTo>
                  <a:pt x="8070" y="38438"/>
                </a:moveTo>
                <a:cubicBezTo>
                  <a:pt x="2968" y="34338"/>
                  <a:pt x="0" y="28145"/>
                  <a:pt x="0" y="21600"/>
                </a:cubicBezTo>
                <a:cubicBezTo>
                  <a:pt x="0" y="9670"/>
                  <a:pt x="9670" y="0"/>
                  <a:pt x="21600" y="0"/>
                </a:cubicBezTo>
                <a:cubicBezTo>
                  <a:pt x="33529" y="0"/>
                  <a:pt x="43200" y="9670"/>
                  <a:pt x="43200" y="21600"/>
                </a:cubicBezTo>
                <a:cubicBezTo>
                  <a:pt x="43200" y="28146"/>
                  <a:pt x="40230" y="34340"/>
                  <a:pt x="35126" y="38439"/>
                </a:cubicBezTo>
              </a:path>
              <a:path w="43200" h="38440" stroke="0" extrusionOk="0">
                <a:moveTo>
                  <a:pt x="8070" y="38438"/>
                </a:moveTo>
                <a:cubicBezTo>
                  <a:pt x="2968" y="34338"/>
                  <a:pt x="0" y="28145"/>
                  <a:pt x="0" y="21600"/>
                </a:cubicBezTo>
                <a:cubicBezTo>
                  <a:pt x="0" y="9670"/>
                  <a:pt x="9670" y="0"/>
                  <a:pt x="21600" y="0"/>
                </a:cubicBezTo>
                <a:cubicBezTo>
                  <a:pt x="33529" y="0"/>
                  <a:pt x="43200" y="9670"/>
                  <a:pt x="43200" y="21600"/>
                </a:cubicBezTo>
                <a:cubicBezTo>
                  <a:pt x="43200" y="28146"/>
                  <a:pt x="40230" y="34340"/>
                  <a:pt x="35126" y="38439"/>
                </a:cubicBezTo>
                <a:lnTo>
                  <a:pt x="21600" y="21600"/>
                </a:lnTo>
                <a:lnTo>
                  <a:pt x="8070" y="38438"/>
                </a:lnTo>
                <a:close/>
              </a:path>
            </a:pathLst>
          </a:custGeom>
          <a:noFill/>
          <a:ln w="190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CCCCFF" mc:Ignorable="a14" a14:legacySpreadsheetColorIndex="31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79" name="Arc 3575">
            <a:extLst>
              <a:ext uri="{FF2B5EF4-FFF2-40B4-BE49-F238E27FC236}">
                <a16:creationId xmlns:a16="http://schemas.microsoft.com/office/drawing/2014/main" id="{00000000-0008-0000-0000-0000B3000000}"/>
              </a:ext>
            </a:extLst>
          </xdr:cNvPr>
          <xdr:cNvSpPr>
            <a:spLocks noChangeAspect="1"/>
          </xdr:cNvSpPr>
        </xdr:nvSpPr>
        <xdr:spPr bwMode="auto">
          <a:xfrm>
            <a:off x="1061" y="1939"/>
            <a:ext cx="35" cy="39"/>
          </a:xfrm>
          <a:custGeom>
            <a:avLst/>
            <a:gdLst>
              <a:gd name="T0" fmla="*/ 0 w 43200"/>
              <a:gd name="T1" fmla="*/ 0 h 38263"/>
              <a:gd name="T2" fmla="*/ 0 w 43200"/>
              <a:gd name="T3" fmla="*/ 0 h 38263"/>
              <a:gd name="T4" fmla="*/ 0 w 43200"/>
              <a:gd name="T5" fmla="*/ 0 h 38263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43200" h="38263" fill="none" extrusionOk="0">
                <a:moveTo>
                  <a:pt x="26" y="22673"/>
                </a:moveTo>
                <a:cubicBezTo>
                  <a:pt x="8" y="22315"/>
                  <a:pt x="0" y="21957"/>
                  <a:pt x="0" y="21600"/>
                </a:cubicBezTo>
                <a:cubicBezTo>
                  <a:pt x="0" y="9670"/>
                  <a:pt x="9670" y="0"/>
                  <a:pt x="21600" y="0"/>
                </a:cubicBezTo>
                <a:cubicBezTo>
                  <a:pt x="33529" y="0"/>
                  <a:pt x="43200" y="9670"/>
                  <a:pt x="43200" y="21600"/>
                </a:cubicBezTo>
                <a:cubicBezTo>
                  <a:pt x="43200" y="28048"/>
                  <a:pt x="40318" y="34159"/>
                  <a:pt x="35344" y="38263"/>
                </a:cubicBezTo>
              </a:path>
              <a:path w="43200" h="38263" stroke="0" extrusionOk="0">
                <a:moveTo>
                  <a:pt x="26" y="22673"/>
                </a:moveTo>
                <a:cubicBezTo>
                  <a:pt x="8" y="22315"/>
                  <a:pt x="0" y="21957"/>
                  <a:pt x="0" y="21600"/>
                </a:cubicBezTo>
                <a:cubicBezTo>
                  <a:pt x="0" y="9670"/>
                  <a:pt x="9670" y="0"/>
                  <a:pt x="21600" y="0"/>
                </a:cubicBezTo>
                <a:cubicBezTo>
                  <a:pt x="33529" y="0"/>
                  <a:pt x="43200" y="9670"/>
                  <a:pt x="43200" y="21600"/>
                </a:cubicBezTo>
                <a:cubicBezTo>
                  <a:pt x="43200" y="28048"/>
                  <a:pt x="40318" y="34159"/>
                  <a:pt x="35344" y="38263"/>
                </a:cubicBezTo>
                <a:lnTo>
                  <a:pt x="21600" y="21600"/>
                </a:lnTo>
                <a:lnTo>
                  <a:pt x="26" y="22673"/>
                </a:lnTo>
                <a:close/>
              </a:path>
            </a:pathLst>
          </a:custGeom>
          <a:noFill/>
          <a:ln w="190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CCCCFF" mc:Ignorable="a14" a14:legacySpreadsheetColorIndex="31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/>
  </xdr:twoCellAnchor>
  <xdr:twoCellAnchor>
    <xdr:from>
      <xdr:col>21</xdr:col>
      <xdr:colOff>9525</xdr:colOff>
      <xdr:row>7</xdr:row>
      <xdr:rowOff>85725</xdr:rowOff>
    </xdr:from>
    <xdr:to>
      <xdr:col>24</xdr:col>
      <xdr:colOff>28575</xdr:colOff>
      <xdr:row>8</xdr:row>
      <xdr:rowOff>104775</xdr:rowOff>
    </xdr:to>
    <xdr:grpSp>
      <xdr:nvGrpSpPr>
        <xdr:cNvPr id="180" name="Group 4624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GrpSpPr>
          <a:grpSpLocks/>
        </xdr:cNvGrpSpPr>
      </xdr:nvGrpSpPr>
      <xdr:grpSpPr bwMode="auto">
        <a:xfrm>
          <a:off x="3999442" y="1419225"/>
          <a:ext cx="590550" cy="209550"/>
          <a:chOff x="965" y="749"/>
          <a:chExt cx="62" cy="22"/>
        </a:xfrm>
      </xdr:grpSpPr>
      <xdr:sp macro="" textlink="">
        <xdr:nvSpPr>
          <xdr:cNvPr id="181" name="Line 4625">
            <a:extLst>
              <a:ext uri="{FF2B5EF4-FFF2-40B4-BE49-F238E27FC236}">
                <a16:creationId xmlns:a16="http://schemas.microsoft.com/office/drawing/2014/main" id="{00000000-0008-0000-0000-0000B5000000}"/>
              </a:ext>
            </a:extLst>
          </xdr:cNvPr>
          <xdr:cNvSpPr>
            <a:spLocks noChangeAspect="1" noChangeShapeType="1"/>
          </xdr:cNvSpPr>
        </xdr:nvSpPr>
        <xdr:spPr bwMode="auto">
          <a:xfrm rot="-5400000">
            <a:off x="1006" y="764"/>
            <a:ext cx="11" cy="3"/>
          </a:xfrm>
          <a:prstGeom prst="line">
            <a:avLst/>
          </a:prstGeom>
          <a:noFill/>
          <a:ln w="190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82" name="Line 4626">
            <a:extLst>
              <a:ext uri="{FF2B5EF4-FFF2-40B4-BE49-F238E27FC236}">
                <a16:creationId xmlns:a16="http://schemas.microsoft.com/office/drawing/2014/main" id="{00000000-0008-0000-0000-0000B6000000}"/>
              </a:ext>
            </a:extLst>
          </xdr:cNvPr>
          <xdr:cNvSpPr>
            <a:spLocks noChangeAspect="1" noChangeShapeType="1"/>
          </xdr:cNvSpPr>
        </xdr:nvSpPr>
        <xdr:spPr bwMode="auto">
          <a:xfrm rot="16200000" flipV="1">
            <a:off x="996" y="757"/>
            <a:ext cx="22" cy="6"/>
          </a:xfrm>
          <a:prstGeom prst="line">
            <a:avLst/>
          </a:prstGeom>
          <a:noFill/>
          <a:ln w="190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83" name="Line 4627">
            <a:extLst>
              <a:ext uri="{FF2B5EF4-FFF2-40B4-BE49-F238E27FC236}">
                <a16:creationId xmlns:a16="http://schemas.microsoft.com/office/drawing/2014/main" id="{00000000-0008-0000-0000-0000B7000000}"/>
              </a:ext>
            </a:extLst>
          </xdr:cNvPr>
          <xdr:cNvSpPr>
            <a:spLocks noChangeAspect="1" noChangeShapeType="1"/>
          </xdr:cNvSpPr>
        </xdr:nvSpPr>
        <xdr:spPr bwMode="auto">
          <a:xfrm rot="-5400000">
            <a:off x="990" y="757"/>
            <a:ext cx="22" cy="5"/>
          </a:xfrm>
          <a:prstGeom prst="line">
            <a:avLst/>
          </a:prstGeom>
          <a:noFill/>
          <a:ln w="190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84" name="Line 4628">
            <a:extLst>
              <a:ext uri="{FF2B5EF4-FFF2-40B4-BE49-F238E27FC236}">
                <a16:creationId xmlns:a16="http://schemas.microsoft.com/office/drawing/2014/main" id="{00000000-0008-0000-0000-0000B8000000}"/>
              </a:ext>
            </a:extLst>
          </xdr:cNvPr>
          <xdr:cNvSpPr>
            <a:spLocks noChangeAspect="1" noChangeShapeType="1"/>
          </xdr:cNvSpPr>
        </xdr:nvSpPr>
        <xdr:spPr bwMode="auto">
          <a:xfrm rot="16200000" flipV="1">
            <a:off x="985" y="757"/>
            <a:ext cx="22" cy="6"/>
          </a:xfrm>
          <a:prstGeom prst="line">
            <a:avLst/>
          </a:prstGeom>
          <a:noFill/>
          <a:ln w="190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85" name="Line 4629">
            <a:extLst>
              <a:ext uri="{FF2B5EF4-FFF2-40B4-BE49-F238E27FC236}">
                <a16:creationId xmlns:a16="http://schemas.microsoft.com/office/drawing/2014/main" id="{00000000-0008-0000-0000-0000B9000000}"/>
              </a:ext>
            </a:extLst>
          </xdr:cNvPr>
          <xdr:cNvSpPr>
            <a:spLocks noChangeAspect="1" noChangeShapeType="1"/>
          </xdr:cNvSpPr>
        </xdr:nvSpPr>
        <xdr:spPr bwMode="auto">
          <a:xfrm rot="-5400000">
            <a:off x="979" y="757"/>
            <a:ext cx="22" cy="5"/>
          </a:xfrm>
          <a:prstGeom prst="line">
            <a:avLst/>
          </a:prstGeom>
          <a:noFill/>
          <a:ln w="190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86" name="Line 4630">
            <a:extLst>
              <a:ext uri="{FF2B5EF4-FFF2-40B4-BE49-F238E27FC236}">
                <a16:creationId xmlns:a16="http://schemas.microsoft.com/office/drawing/2014/main" id="{00000000-0008-0000-0000-0000BA000000}"/>
              </a:ext>
            </a:extLst>
          </xdr:cNvPr>
          <xdr:cNvSpPr>
            <a:spLocks noChangeAspect="1" noChangeShapeType="1"/>
          </xdr:cNvSpPr>
        </xdr:nvSpPr>
        <xdr:spPr bwMode="auto">
          <a:xfrm rot="16200000" flipV="1">
            <a:off x="973" y="757"/>
            <a:ext cx="22" cy="6"/>
          </a:xfrm>
          <a:prstGeom prst="line">
            <a:avLst/>
          </a:prstGeom>
          <a:noFill/>
          <a:ln w="190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87" name="Line 4631">
            <a:extLst>
              <a:ext uri="{FF2B5EF4-FFF2-40B4-BE49-F238E27FC236}">
                <a16:creationId xmlns:a16="http://schemas.microsoft.com/office/drawing/2014/main" id="{00000000-0008-0000-0000-0000BB000000}"/>
              </a:ext>
            </a:extLst>
          </xdr:cNvPr>
          <xdr:cNvSpPr>
            <a:spLocks noChangeAspect="1" noChangeShapeType="1"/>
          </xdr:cNvSpPr>
        </xdr:nvSpPr>
        <xdr:spPr bwMode="auto">
          <a:xfrm rot="-5400000">
            <a:off x="974" y="753"/>
            <a:ext cx="11" cy="3"/>
          </a:xfrm>
          <a:prstGeom prst="line">
            <a:avLst/>
          </a:prstGeom>
          <a:noFill/>
          <a:ln w="190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88" name="Line 4632">
            <a:extLst>
              <a:ext uri="{FF2B5EF4-FFF2-40B4-BE49-F238E27FC236}">
                <a16:creationId xmlns:a16="http://schemas.microsoft.com/office/drawing/2014/main" id="{00000000-0008-0000-0000-0000BC000000}"/>
              </a:ext>
            </a:extLst>
          </xdr:cNvPr>
          <xdr:cNvSpPr>
            <a:spLocks noChangeAspect="1" noChangeShapeType="1"/>
          </xdr:cNvSpPr>
        </xdr:nvSpPr>
        <xdr:spPr bwMode="auto">
          <a:xfrm rot="-5400000">
            <a:off x="1020" y="753"/>
            <a:ext cx="0" cy="14"/>
          </a:xfrm>
          <a:prstGeom prst="line">
            <a:avLst/>
          </a:prstGeom>
          <a:noFill/>
          <a:ln w="190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89" name="Line 4633">
            <a:extLst>
              <a:ext uri="{FF2B5EF4-FFF2-40B4-BE49-F238E27FC236}">
                <a16:creationId xmlns:a16="http://schemas.microsoft.com/office/drawing/2014/main" id="{00000000-0008-0000-0000-0000BD000000}"/>
              </a:ext>
            </a:extLst>
          </xdr:cNvPr>
          <xdr:cNvSpPr>
            <a:spLocks noChangeAspect="1" noChangeShapeType="1"/>
          </xdr:cNvSpPr>
        </xdr:nvSpPr>
        <xdr:spPr bwMode="auto">
          <a:xfrm rot="-5400000">
            <a:off x="972" y="753"/>
            <a:ext cx="0" cy="14"/>
          </a:xfrm>
          <a:prstGeom prst="line">
            <a:avLst/>
          </a:prstGeom>
          <a:noFill/>
          <a:ln w="190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20</xdr:col>
      <xdr:colOff>53976</xdr:colOff>
      <xdr:row>8</xdr:row>
      <xdr:rowOff>0</xdr:rowOff>
    </xdr:from>
    <xdr:to>
      <xdr:col>21</xdr:col>
      <xdr:colOff>120651</xdr:colOff>
      <xdr:row>8</xdr:row>
      <xdr:rowOff>0</xdr:rowOff>
    </xdr:to>
    <xdr:sp macro="" textlink="">
      <xdr:nvSpPr>
        <xdr:cNvPr id="190" name="Line 2250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>
          <a:spLocks noChangeShapeType="1"/>
        </xdr:cNvSpPr>
      </xdr:nvSpPr>
      <xdr:spPr bwMode="auto">
        <a:xfrm>
          <a:off x="3853393" y="1524000"/>
          <a:ext cx="257175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44</xdr:col>
      <xdr:colOff>79376</xdr:colOff>
      <xdr:row>5</xdr:row>
      <xdr:rowOff>3970</xdr:rowOff>
    </xdr:from>
    <xdr:to>
      <xdr:col>55</xdr:col>
      <xdr:colOff>15876</xdr:colOff>
      <xdr:row>24</xdr:row>
      <xdr:rowOff>146845</xdr:rowOff>
    </xdr:to>
    <xdr:sp macro="" textlink="">
      <xdr:nvSpPr>
        <xdr:cNvPr id="191" name="正方形/長方形 190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/>
      </xdr:nvSpPr>
      <xdr:spPr bwMode="auto">
        <a:xfrm>
          <a:off x="8442326" y="956470"/>
          <a:ext cx="2032000" cy="3762375"/>
        </a:xfrm>
        <a:prstGeom prst="rect">
          <a:avLst/>
        </a:prstGeom>
        <a:noFill/>
        <a:ln w="19050" cap="flat" cmpd="sng" algn="ctr">
          <a:solidFill>
            <a:srgbClr val="FF0000"/>
          </a:solidFill>
          <a:prstDash val="dashDot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endParaRPr kumimoji="1" lang="ja-JP" altLang="en-US" sz="1400"/>
        </a:p>
      </xdr:txBody>
    </xdr:sp>
    <xdr:clientData/>
  </xdr:twoCellAnchor>
  <xdr:twoCellAnchor>
    <xdr:from>
      <xdr:col>58</xdr:col>
      <xdr:colOff>158750</xdr:colOff>
      <xdr:row>5</xdr:row>
      <xdr:rowOff>1589</xdr:rowOff>
    </xdr:from>
    <xdr:to>
      <xdr:col>67</xdr:col>
      <xdr:colOff>73026</xdr:colOff>
      <xdr:row>24</xdr:row>
      <xdr:rowOff>144464</xdr:rowOff>
    </xdr:to>
    <xdr:sp macro="" textlink="">
      <xdr:nvSpPr>
        <xdr:cNvPr id="192" name="正方形/長方形 191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/>
      </xdr:nvSpPr>
      <xdr:spPr bwMode="auto">
        <a:xfrm>
          <a:off x="11188700" y="954089"/>
          <a:ext cx="1628776" cy="3762375"/>
        </a:xfrm>
        <a:prstGeom prst="rect">
          <a:avLst/>
        </a:prstGeom>
        <a:noFill/>
        <a:ln w="19050" cap="flat" cmpd="sng" algn="ctr">
          <a:solidFill>
            <a:srgbClr val="FF0000"/>
          </a:solidFill>
          <a:prstDash val="dashDot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endParaRPr kumimoji="1" lang="ja-JP" altLang="en-US" sz="1400"/>
        </a:p>
      </xdr:txBody>
    </xdr:sp>
    <xdr:clientData/>
  </xdr:twoCellAnchor>
  <xdr:twoCellAnchor>
    <xdr:from>
      <xdr:col>63</xdr:col>
      <xdr:colOff>144875</xdr:colOff>
      <xdr:row>1</xdr:row>
      <xdr:rowOff>122872</xdr:rowOff>
    </xdr:from>
    <xdr:to>
      <xdr:col>77</xdr:col>
      <xdr:colOff>31752</xdr:colOff>
      <xdr:row>25</xdr:row>
      <xdr:rowOff>97193</xdr:rowOff>
    </xdr:to>
    <xdr:sp macro="" textlink="">
      <xdr:nvSpPr>
        <xdr:cNvPr id="193" name="円/楕円 1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>
          <a:spLocks noChangeArrowheads="1"/>
        </xdr:cNvSpPr>
      </xdr:nvSpPr>
      <xdr:spPr bwMode="auto">
        <a:xfrm>
          <a:off x="12125208" y="313372"/>
          <a:ext cx="2553877" cy="4546321"/>
        </a:xfrm>
        <a:custGeom>
          <a:avLst/>
          <a:gdLst>
            <a:gd name="connsiteX0" fmla="*/ 0 w 2657475"/>
            <a:gd name="connsiteY0" fmla="*/ 2228850 h 4457700"/>
            <a:gd name="connsiteX1" fmla="*/ 1328738 w 2657475"/>
            <a:gd name="connsiteY1" fmla="*/ 0 h 4457700"/>
            <a:gd name="connsiteX2" fmla="*/ 2657476 w 2657475"/>
            <a:gd name="connsiteY2" fmla="*/ 2228850 h 4457700"/>
            <a:gd name="connsiteX3" fmla="*/ 1328738 w 2657475"/>
            <a:gd name="connsiteY3" fmla="*/ 4457700 h 4457700"/>
            <a:gd name="connsiteX4" fmla="*/ 0 w 2657475"/>
            <a:gd name="connsiteY4" fmla="*/ 2228850 h 4457700"/>
            <a:gd name="connsiteX0" fmla="*/ 159640 w 2817116"/>
            <a:gd name="connsiteY0" fmla="*/ 2402785 h 4631635"/>
            <a:gd name="connsiteX1" fmla="*/ 171282 w 2817116"/>
            <a:gd name="connsiteY1" fmla="*/ 398302 h 4631635"/>
            <a:gd name="connsiteX2" fmla="*/ 1488378 w 2817116"/>
            <a:gd name="connsiteY2" fmla="*/ 173935 h 4631635"/>
            <a:gd name="connsiteX3" fmla="*/ 2817116 w 2817116"/>
            <a:gd name="connsiteY3" fmla="*/ 2402785 h 4631635"/>
            <a:gd name="connsiteX4" fmla="*/ 1488378 w 2817116"/>
            <a:gd name="connsiteY4" fmla="*/ 4631635 h 4631635"/>
            <a:gd name="connsiteX5" fmla="*/ 159640 w 2817116"/>
            <a:gd name="connsiteY5" fmla="*/ 2402785 h 4631635"/>
            <a:gd name="connsiteX0" fmla="*/ 446734 w 2712627"/>
            <a:gd name="connsiteY0" fmla="*/ 2402785 h 4631635"/>
            <a:gd name="connsiteX1" fmla="*/ 66793 w 2712627"/>
            <a:gd name="connsiteY1" fmla="*/ 398302 h 4631635"/>
            <a:gd name="connsiteX2" fmla="*/ 1383889 w 2712627"/>
            <a:gd name="connsiteY2" fmla="*/ 173935 h 4631635"/>
            <a:gd name="connsiteX3" fmla="*/ 2712627 w 2712627"/>
            <a:gd name="connsiteY3" fmla="*/ 2402785 h 4631635"/>
            <a:gd name="connsiteX4" fmla="*/ 1383889 w 2712627"/>
            <a:gd name="connsiteY4" fmla="*/ 4631635 h 4631635"/>
            <a:gd name="connsiteX5" fmla="*/ 446734 w 2712627"/>
            <a:gd name="connsiteY5" fmla="*/ 2402785 h 4631635"/>
            <a:gd name="connsiteX0" fmla="*/ 446734 w 2553877"/>
            <a:gd name="connsiteY0" fmla="*/ 2423061 h 4653855"/>
            <a:gd name="connsiteX1" fmla="*/ 66793 w 2553877"/>
            <a:gd name="connsiteY1" fmla="*/ 418578 h 4653855"/>
            <a:gd name="connsiteX2" fmla="*/ 1383889 w 2553877"/>
            <a:gd name="connsiteY2" fmla="*/ 194211 h 4653855"/>
            <a:gd name="connsiteX3" fmla="*/ 2553877 w 2553877"/>
            <a:gd name="connsiteY3" fmla="*/ 2698228 h 4653855"/>
            <a:gd name="connsiteX4" fmla="*/ 1383889 w 2553877"/>
            <a:gd name="connsiteY4" fmla="*/ 4651911 h 4653855"/>
            <a:gd name="connsiteX5" fmla="*/ 446734 w 2553877"/>
            <a:gd name="connsiteY5" fmla="*/ 2423061 h 4653855"/>
            <a:gd name="connsiteX0" fmla="*/ 446734 w 2553877"/>
            <a:gd name="connsiteY0" fmla="*/ 2315527 h 4546321"/>
            <a:gd name="connsiteX1" fmla="*/ 66793 w 2553877"/>
            <a:gd name="connsiteY1" fmla="*/ 311044 h 4546321"/>
            <a:gd name="connsiteX2" fmla="*/ 1479139 w 2553877"/>
            <a:gd name="connsiteY2" fmla="*/ 256010 h 4546321"/>
            <a:gd name="connsiteX3" fmla="*/ 2553877 w 2553877"/>
            <a:gd name="connsiteY3" fmla="*/ 2590694 h 4546321"/>
            <a:gd name="connsiteX4" fmla="*/ 1383889 w 2553877"/>
            <a:gd name="connsiteY4" fmla="*/ 4544377 h 4546321"/>
            <a:gd name="connsiteX5" fmla="*/ 446734 w 2553877"/>
            <a:gd name="connsiteY5" fmla="*/ 2315527 h 4546321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</a:cxnLst>
          <a:rect l="l" t="t" r="r" b="b"/>
          <a:pathLst>
            <a:path w="2553877" h="4546321">
              <a:moveTo>
                <a:pt x="446734" y="2315527"/>
              </a:moveTo>
              <a:cubicBezTo>
                <a:pt x="227218" y="1609972"/>
                <a:pt x="-154663" y="682519"/>
                <a:pt x="66793" y="311044"/>
              </a:cubicBezTo>
              <a:cubicBezTo>
                <a:pt x="288249" y="-60431"/>
                <a:pt x="1064625" y="-123932"/>
                <a:pt x="1479139" y="256010"/>
              </a:cubicBezTo>
              <a:cubicBezTo>
                <a:pt x="1893653" y="635952"/>
                <a:pt x="2553877" y="1359734"/>
                <a:pt x="2553877" y="2590694"/>
              </a:cubicBezTo>
              <a:cubicBezTo>
                <a:pt x="2553877" y="3821654"/>
                <a:pt x="1735080" y="4590238"/>
                <a:pt x="1383889" y="4544377"/>
              </a:cubicBezTo>
              <a:cubicBezTo>
                <a:pt x="1032698" y="4498516"/>
                <a:pt x="666250" y="3021083"/>
                <a:pt x="446734" y="2315527"/>
              </a:cubicBezTo>
              <a:close/>
            </a:path>
          </a:pathLst>
        </a:custGeom>
        <a:noFill/>
        <a:ln w="19050" algn="ctr">
          <a:solidFill>
            <a:srgbClr val="00B0F0"/>
          </a:solidFill>
          <a:prstDash val="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49</xdr:col>
      <xdr:colOff>147536</xdr:colOff>
      <xdr:row>1</xdr:row>
      <xdr:rowOff>116351</xdr:rowOff>
    </xdr:from>
    <xdr:to>
      <xdr:col>76</xdr:col>
      <xdr:colOff>17046</xdr:colOff>
      <xdr:row>26</xdr:row>
      <xdr:rowOff>105886</xdr:rowOff>
    </xdr:to>
    <xdr:sp macro="" textlink="">
      <xdr:nvSpPr>
        <xdr:cNvPr id="194" name="円/楕円 193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>
          <a:spLocks/>
        </xdr:cNvSpPr>
      </xdr:nvSpPr>
      <xdr:spPr bwMode="auto">
        <a:xfrm>
          <a:off x="9460869" y="306851"/>
          <a:ext cx="5013010" cy="4752035"/>
        </a:xfrm>
        <a:custGeom>
          <a:avLst/>
          <a:gdLst>
            <a:gd name="T0" fmla="*/ 432591 w 5335727"/>
            <a:gd name="T1" fmla="*/ 2707116 h 4635468"/>
            <a:gd name="T2" fmla="*/ 254056 w 5335727"/>
            <a:gd name="T3" fmla="*/ 386174 h 4635468"/>
            <a:gd name="T4" fmla="*/ 2829735 w 5335727"/>
            <a:gd name="T5" fmla="*/ 181244 h 4635468"/>
            <a:gd name="T6" fmla="*/ 5334000 w 5335727"/>
            <a:gd name="T7" fmla="*/ 2409254 h 4635468"/>
            <a:gd name="T8" fmla="*/ 3091588 w 5335727"/>
            <a:gd name="T9" fmla="*/ 4637263 h 4635468"/>
            <a:gd name="T10" fmla="*/ 432591 w 5335727"/>
            <a:gd name="T11" fmla="*/ 2707116 h 4635468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  <a:gd name="connsiteX0" fmla="*/ 432731 w 4912257"/>
            <a:gd name="connsiteY0" fmla="*/ 2706019 h 4636148"/>
            <a:gd name="connsiteX1" fmla="*/ 254138 w 4912257"/>
            <a:gd name="connsiteY1" fmla="*/ 386682 h 4636148"/>
            <a:gd name="connsiteX2" fmla="*/ 2830651 w 4912257"/>
            <a:gd name="connsiteY2" fmla="*/ 181894 h 4636148"/>
            <a:gd name="connsiteX3" fmla="*/ 4912257 w 4912257"/>
            <a:gd name="connsiteY3" fmla="*/ 2418939 h 4636148"/>
            <a:gd name="connsiteX4" fmla="*/ 3092589 w 4912257"/>
            <a:gd name="connsiteY4" fmla="*/ 4634832 h 4636148"/>
            <a:gd name="connsiteX5" fmla="*/ 432731 w 4912257"/>
            <a:gd name="connsiteY5" fmla="*/ 2706019 h 4636148"/>
            <a:gd name="connsiteX0" fmla="*/ 432731 w 4943847"/>
            <a:gd name="connsiteY0" fmla="*/ 2575934 h 4506062"/>
            <a:gd name="connsiteX1" fmla="*/ 254138 w 4943847"/>
            <a:gd name="connsiteY1" fmla="*/ 256597 h 4506062"/>
            <a:gd name="connsiteX2" fmla="*/ 2830651 w 4943847"/>
            <a:gd name="connsiteY2" fmla="*/ 51809 h 4506062"/>
            <a:gd name="connsiteX3" fmla="*/ 4166950 w 4943847"/>
            <a:gd name="connsiteY3" fmla="*/ 475639 h 4506062"/>
            <a:gd name="connsiteX4" fmla="*/ 4912257 w 4943847"/>
            <a:gd name="connsiteY4" fmla="*/ 2288854 h 4506062"/>
            <a:gd name="connsiteX5" fmla="*/ 3092589 w 4943847"/>
            <a:gd name="connsiteY5" fmla="*/ 4504747 h 4506062"/>
            <a:gd name="connsiteX6" fmla="*/ 432731 w 4943847"/>
            <a:gd name="connsiteY6" fmla="*/ 2575934 h 4506062"/>
            <a:gd name="connsiteX0" fmla="*/ 401341 w 4912457"/>
            <a:gd name="connsiteY0" fmla="*/ 2671307 h 4601435"/>
            <a:gd name="connsiteX1" fmla="*/ 222748 w 4912457"/>
            <a:gd name="connsiteY1" fmla="*/ 351970 h 4601435"/>
            <a:gd name="connsiteX2" fmla="*/ 2460484 w 4912457"/>
            <a:gd name="connsiteY2" fmla="*/ 30847 h 4601435"/>
            <a:gd name="connsiteX3" fmla="*/ 4135560 w 4912457"/>
            <a:gd name="connsiteY3" fmla="*/ 571012 h 4601435"/>
            <a:gd name="connsiteX4" fmla="*/ 4880867 w 4912457"/>
            <a:gd name="connsiteY4" fmla="*/ 2384227 h 4601435"/>
            <a:gd name="connsiteX5" fmla="*/ 3061199 w 4912457"/>
            <a:gd name="connsiteY5" fmla="*/ 4600120 h 4601435"/>
            <a:gd name="connsiteX6" fmla="*/ 401341 w 4912457"/>
            <a:gd name="connsiteY6" fmla="*/ 2671307 h 4601435"/>
            <a:gd name="connsiteX0" fmla="*/ 401341 w 4882148"/>
            <a:gd name="connsiteY0" fmla="*/ 2671307 h 4600146"/>
            <a:gd name="connsiteX1" fmla="*/ 222748 w 4882148"/>
            <a:gd name="connsiteY1" fmla="*/ 351970 h 4600146"/>
            <a:gd name="connsiteX2" fmla="*/ 2460484 w 4882148"/>
            <a:gd name="connsiteY2" fmla="*/ 30847 h 4600146"/>
            <a:gd name="connsiteX3" fmla="*/ 4135560 w 4882148"/>
            <a:gd name="connsiteY3" fmla="*/ 571012 h 4600146"/>
            <a:gd name="connsiteX4" fmla="*/ 4849106 w 4882148"/>
            <a:gd name="connsiteY4" fmla="*/ 2712083 h 4600146"/>
            <a:gd name="connsiteX5" fmla="*/ 3061199 w 4882148"/>
            <a:gd name="connsiteY5" fmla="*/ 4600120 h 4600146"/>
            <a:gd name="connsiteX6" fmla="*/ 401341 w 4882148"/>
            <a:gd name="connsiteY6" fmla="*/ 2671307 h 4600146"/>
            <a:gd name="connsiteX0" fmla="*/ 631214 w 5112021"/>
            <a:gd name="connsiteY0" fmla="*/ 2781379 h 4710218"/>
            <a:gd name="connsiteX1" fmla="*/ 145606 w 5112021"/>
            <a:gd name="connsiteY1" fmla="*/ 250522 h 4710218"/>
            <a:gd name="connsiteX2" fmla="*/ 2690357 w 5112021"/>
            <a:gd name="connsiteY2" fmla="*/ 140919 h 4710218"/>
            <a:gd name="connsiteX3" fmla="*/ 4365433 w 5112021"/>
            <a:gd name="connsiteY3" fmla="*/ 681084 h 4710218"/>
            <a:gd name="connsiteX4" fmla="*/ 5078979 w 5112021"/>
            <a:gd name="connsiteY4" fmla="*/ 2822155 h 4710218"/>
            <a:gd name="connsiteX5" fmla="*/ 3291072 w 5112021"/>
            <a:gd name="connsiteY5" fmla="*/ 4710192 h 4710218"/>
            <a:gd name="connsiteX6" fmla="*/ 631214 w 5112021"/>
            <a:gd name="connsiteY6" fmla="*/ 2781379 h 4710218"/>
            <a:gd name="connsiteX0" fmla="*/ 802579 w 5061064"/>
            <a:gd name="connsiteY0" fmla="*/ 2611773 h 4699847"/>
            <a:gd name="connsiteX1" fmla="*/ 94649 w 5061064"/>
            <a:gd name="connsiteY1" fmla="*/ 239556 h 4699847"/>
            <a:gd name="connsiteX2" fmla="*/ 2639400 w 5061064"/>
            <a:gd name="connsiteY2" fmla="*/ 129953 h 4699847"/>
            <a:gd name="connsiteX3" fmla="*/ 4314476 w 5061064"/>
            <a:gd name="connsiteY3" fmla="*/ 670118 h 4699847"/>
            <a:gd name="connsiteX4" fmla="*/ 5028022 w 5061064"/>
            <a:gd name="connsiteY4" fmla="*/ 2811189 h 4699847"/>
            <a:gd name="connsiteX5" fmla="*/ 3240115 w 5061064"/>
            <a:gd name="connsiteY5" fmla="*/ 4699226 h 4699847"/>
            <a:gd name="connsiteX6" fmla="*/ 802579 w 5061064"/>
            <a:gd name="connsiteY6" fmla="*/ 2611773 h 4699847"/>
            <a:gd name="connsiteX0" fmla="*/ 850479 w 5108964"/>
            <a:gd name="connsiteY0" fmla="*/ 2639739 h 4727814"/>
            <a:gd name="connsiteX1" fmla="*/ 89616 w 5108964"/>
            <a:gd name="connsiteY1" fmla="*/ 225219 h 4727814"/>
            <a:gd name="connsiteX2" fmla="*/ 2687300 w 5108964"/>
            <a:gd name="connsiteY2" fmla="*/ 157919 h 4727814"/>
            <a:gd name="connsiteX3" fmla="*/ 4362376 w 5108964"/>
            <a:gd name="connsiteY3" fmla="*/ 698084 h 4727814"/>
            <a:gd name="connsiteX4" fmla="*/ 5075922 w 5108964"/>
            <a:gd name="connsiteY4" fmla="*/ 2839155 h 4727814"/>
            <a:gd name="connsiteX5" fmla="*/ 3288015 w 5108964"/>
            <a:gd name="connsiteY5" fmla="*/ 4727192 h 4727814"/>
            <a:gd name="connsiteX6" fmla="*/ 850479 w 5108964"/>
            <a:gd name="connsiteY6" fmla="*/ 2639739 h 4727814"/>
            <a:gd name="connsiteX0" fmla="*/ 850479 w 5028853"/>
            <a:gd name="connsiteY0" fmla="*/ 2639739 h 4729640"/>
            <a:gd name="connsiteX1" fmla="*/ 89616 w 5028853"/>
            <a:gd name="connsiteY1" fmla="*/ 225219 h 4729640"/>
            <a:gd name="connsiteX2" fmla="*/ 2687300 w 5028853"/>
            <a:gd name="connsiteY2" fmla="*/ 157919 h 4729640"/>
            <a:gd name="connsiteX3" fmla="*/ 4362376 w 5028853"/>
            <a:gd name="connsiteY3" fmla="*/ 698084 h 4729640"/>
            <a:gd name="connsiteX4" fmla="*/ 4991228 w 5028853"/>
            <a:gd name="connsiteY4" fmla="*/ 2225747 h 4729640"/>
            <a:gd name="connsiteX5" fmla="*/ 3288015 w 5028853"/>
            <a:gd name="connsiteY5" fmla="*/ 4727192 h 4729640"/>
            <a:gd name="connsiteX6" fmla="*/ 850479 w 5028853"/>
            <a:gd name="connsiteY6" fmla="*/ 2639739 h 4729640"/>
            <a:gd name="connsiteX0" fmla="*/ 850479 w 5014633"/>
            <a:gd name="connsiteY0" fmla="*/ 2639739 h 4748751"/>
            <a:gd name="connsiteX1" fmla="*/ 89616 w 5014633"/>
            <a:gd name="connsiteY1" fmla="*/ 225219 h 4748751"/>
            <a:gd name="connsiteX2" fmla="*/ 2687300 w 5014633"/>
            <a:gd name="connsiteY2" fmla="*/ 157919 h 4748751"/>
            <a:gd name="connsiteX3" fmla="*/ 4362376 w 5014633"/>
            <a:gd name="connsiteY3" fmla="*/ 698084 h 4748751"/>
            <a:gd name="connsiteX4" fmla="*/ 4991228 w 5014633"/>
            <a:gd name="connsiteY4" fmla="*/ 2225747 h 4748751"/>
            <a:gd name="connsiteX5" fmla="*/ 4764673 w 5014633"/>
            <a:gd name="connsiteY5" fmla="*/ 3638216 h 4748751"/>
            <a:gd name="connsiteX6" fmla="*/ 3288015 w 5014633"/>
            <a:gd name="connsiteY6" fmla="*/ 4727192 h 4748751"/>
            <a:gd name="connsiteX7" fmla="*/ 850479 w 5014633"/>
            <a:gd name="connsiteY7" fmla="*/ 2639739 h 4748751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</a:cxnLst>
          <a:rect l="l" t="t" r="r" b="b"/>
          <a:pathLst>
            <a:path w="5014633" h="4748751">
              <a:moveTo>
                <a:pt x="850479" y="2639739"/>
              </a:moveTo>
              <a:cubicBezTo>
                <a:pt x="317413" y="1889410"/>
                <a:pt x="-216521" y="638856"/>
                <a:pt x="89616" y="225219"/>
              </a:cubicBezTo>
              <a:cubicBezTo>
                <a:pt x="395753" y="-188418"/>
                <a:pt x="1975173" y="79108"/>
                <a:pt x="2687300" y="157919"/>
              </a:cubicBezTo>
              <a:cubicBezTo>
                <a:pt x="3399427" y="236730"/>
                <a:pt x="4015442" y="325243"/>
                <a:pt x="4362376" y="698084"/>
              </a:cubicBezTo>
              <a:cubicBezTo>
                <a:pt x="4709310" y="1070925"/>
                <a:pt x="4948881" y="1813283"/>
                <a:pt x="4991228" y="2225747"/>
              </a:cubicBezTo>
              <a:cubicBezTo>
                <a:pt x="5033575" y="2638211"/>
                <a:pt x="5048542" y="3221308"/>
                <a:pt x="4764673" y="3638216"/>
              </a:cubicBezTo>
              <a:cubicBezTo>
                <a:pt x="4480804" y="4055124"/>
                <a:pt x="3940381" y="4893605"/>
                <a:pt x="3288015" y="4727192"/>
              </a:cubicBezTo>
              <a:cubicBezTo>
                <a:pt x="2635649" y="4560779"/>
                <a:pt x="1383545" y="3390068"/>
                <a:pt x="850479" y="2639739"/>
              </a:cubicBezTo>
              <a:close/>
            </a:path>
          </a:pathLst>
        </a:custGeom>
        <a:noFill/>
        <a:ln w="19050" cap="flat" cmpd="sng" algn="ctr">
          <a:solidFill>
            <a:srgbClr val="00B0F0"/>
          </a:solidFill>
          <a:prstDash val="dashDot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104</xdr:col>
      <xdr:colOff>21167</xdr:colOff>
      <xdr:row>21</xdr:row>
      <xdr:rowOff>10583</xdr:rowOff>
    </xdr:from>
    <xdr:to>
      <xdr:col>141</xdr:col>
      <xdr:colOff>42334</xdr:colOff>
      <xdr:row>28</xdr:row>
      <xdr:rowOff>31750</xdr:rowOff>
    </xdr:to>
    <xdr:cxnSp macro="">
      <xdr:nvCxnSpPr>
        <xdr:cNvPr id="195" name="直線矢印コネクタ 194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CxnSpPr/>
      </xdr:nvCxnSpPr>
      <xdr:spPr bwMode="auto">
        <a:xfrm>
          <a:off x="19814117" y="4011083"/>
          <a:ext cx="7155392" cy="1354667"/>
        </a:xfrm>
        <a:prstGeom prst="straightConnector1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1905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234</xdr:col>
      <xdr:colOff>195942</xdr:colOff>
      <xdr:row>25</xdr:row>
      <xdr:rowOff>46945</xdr:rowOff>
    </xdr:from>
    <xdr:to>
      <xdr:col>247</xdr:col>
      <xdr:colOff>663840</xdr:colOff>
      <xdr:row>63</xdr:row>
      <xdr:rowOff>37722</xdr:rowOff>
    </xdr:to>
    <xdr:graphicFrame macro="">
      <xdr:nvGraphicFramePr>
        <xdr:cNvPr id="196" name="グラフ 195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23</xdr:col>
      <xdr:colOff>153458</xdr:colOff>
      <xdr:row>11</xdr:row>
      <xdr:rowOff>0</xdr:rowOff>
    </xdr:from>
    <xdr:to>
      <xdr:col>35</xdr:col>
      <xdr:colOff>153458</xdr:colOff>
      <xdr:row>11</xdr:row>
      <xdr:rowOff>0</xdr:rowOff>
    </xdr:to>
    <xdr:sp macro="" textlink="">
      <xdr:nvSpPr>
        <xdr:cNvPr id="197" name="Line 4845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>
          <a:spLocks noChangeShapeType="1"/>
        </xdr:cNvSpPr>
      </xdr:nvSpPr>
      <xdr:spPr bwMode="auto">
        <a:xfrm>
          <a:off x="4524375" y="2095500"/>
          <a:ext cx="228600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48</xdr:col>
      <xdr:colOff>41276</xdr:colOff>
      <xdr:row>4</xdr:row>
      <xdr:rowOff>14817</xdr:rowOff>
    </xdr:from>
    <xdr:to>
      <xdr:col>50</xdr:col>
      <xdr:colOff>21167</xdr:colOff>
      <xdr:row>4</xdr:row>
      <xdr:rowOff>14817</xdr:rowOff>
    </xdr:to>
    <xdr:sp macro="" textlink="">
      <xdr:nvSpPr>
        <xdr:cNvPr id="198" name="Line 4845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>
          <a:spLocks noChangeShapeType="1"/>
        </xdr:cNvSpPr>
      </xdr:nvSpPr>
      <xdr:spPr bwMode="auto">
        <a:xfrm>
          <a:off x="9164109" y="776817"/>
          <a:ext cx="360891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55</xdr:col>
      <xdr:colOff>34926</xdr:colOff>
      <xdr:row>4</xdr:row>
      <xdr:rowOff>8467</xdr:rowOff>
    </xdr:from>
    <xdr:to>
      <xdr:col>56</xdr:col>
      <xdr:colOff>132426</xdr:colOff>
      <xdr:row>4</xdr:row>
      <xdr:rowOff>8467</xdr:rowOff>
    </xdr:to>
    <xdr:sp macro="" textlink="">
      <xdr:nvSpPr>
        <xdr:cNvPr id="199" name="Line 4845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>
          <a:spLocks noChangeShapeType="1"/>
        </xdr:cNvSpPr>
      </xdr:nvSpPr>
      <xdr:spPr bwMode="auto">
        <a:xfrm>
          <a:off x="10491259" y="770467"/>
          <a:ext cx="28800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62</xdr:col>
      <xdr:colOff>3176</xdr:colOff>
      <xdr:row>4</xdr:row>
      <xdr:rowOff>8467</xdr:rowOff>
    </xdr:from>
    <xdr:to>
      <xdr:col>63</xdr:col>
      <xdr:colOff>173567</xdr:colOff>
      <xdr:row>4</xdr:row>
      <xdr:rowOff>8467</xdr:rowOff>
    </xdr:to>
    <xdr:sp macro="" textlink="">
      <xdr:nvSpPr>
        <xdr:cNvPr id="200" name="Line 4845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>
          <a:spLocks noChangeShapeType="1"/>
        </xdr:cNvSpPr>
      </xdr:nvSpPr>
      <xdr:spPr bwMode="auto">
        <a:xfrm>
          <a:off x="11793009" y="770467"/>
          <a:ext cx="360891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23</xdr:col>
      <xdr:colOff>143933</xdr:colOff>
      <xdr:row>8</xdr:row>
      <xdr:rowOff>0</xdr:rowOff>
    </xdr:from>
    <xdr:to>
      <xdr:col>25</xdr:col>
      <xdr:colOff>20108</xdr:colOff>
      <xdr:row>10</xdr:row>
      <xdr:rowOff>171450</xdr:rowOff>
    </xdr:to>
    <xdr:sp macro="" textlink="">
      <xdr:nvSpPr>
        <xdr:cNvPr id="201" name="Freeform 3821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>
          <a:spLocks/>
        </xdr:cNvSpPr>
      </xdr:nvSpPr>
      <xdr:spPr bwMode="auto">
        <a:xfrm>
          <a:off x="4514850" y="1524000"/>
          <a:ext cx="257175" cy="552450"/>
        </a:xfrm>
        <a:custGeom>
          <a:avLst/>
          <a:gdLst>
            <a:gd name="T0" fmla="*/ 0 w 160"/>
            <a:gd name="T1" fmla="*/ 0 h 84"/>
            <a:gd name="T2" fmla="*/ 2147483647 w 160"/>
            <a:gd name="T3" fmla="*/ 0 h 84"/>
            <a:gd name="T4" fmla="*/ 2147483647 w 160"/>
            <a:gd name="T5" fmla="*/ 2147483647 h 84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160" h="84">
              <a:moveTo>
                <a:pt x="0" y="0"/>
              </a:moveTo>
              <a:lnTo>
                <a:pt x="160" y="0"/>
              </a:lnTo>
              <a:lnTo>
                <a:pt x="160" y="84"/>
              </a:lnTo>
            </a:path>
          </a:pathLst>
        </a:custGeom>
        <a:noFill/>
        <a:ln w="19050" cap="flat" cmpd="sng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69</xdr:col>
      <xdr:colOff>0</xdr:colOff>
      <xdr:row>4</xdr:row>
      <xdr:rowOff>14816</xdr:rowOff>
    </xdr:from>
    <xdr:to>
      <xdr:col>71</xdr:col>
      <xdr:colOff>42334</xdr:colOff>
      <xdr:row>11</xdr:row>
      <xdr:rowOff>158749</xdr:rowOff>
    </xdr:to>
    <xdr:sp macro="" textlink="">
      <xdr:nvSpPr>
        <xdr:cNvPr id="202" name="Freeform 3821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>
          <a:spLocks/>
        </xdr:cNvSpPr>
      </xdr:nvSpPr>
      <xdr:spPr bwMode="auto">
        <a:xfrm>
          <a:off x="13123333" y="776816"/>
          <a:ext cx="423334" cy="1477433"/>
        </a:xfrm>
        <a:custGeom>
          <a:avLst/>
          <a:gdLst>
            <a:gd name="T0" fmla="*/ 0 w 160"/>
            <a:gd name="T1" fmla="*/ 0 h 84"/>
            <a:gd name="T2" fmla="*/ 2147483647 w 160"/>
            <a:gd name="T3" fmla="*/ 0 h 84"/>
            <a:gd name="T4" fmla="*/ 2147483647 w 160"/>
            <a:gd name="T5" fmla="*/ 2147483647 h 84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160" h="84">
              <a:moveTo>
                <a:pt x="0" y="0"/>
              </a:moveTo>
              <a:lnTo>
                <a:pt x="160" y="0"/>
              </a:lnTo>
              <a:lnTo>
                <a:pt x="160" y="84"/>
              </a:lnTo>
            </a:path>
          </a:pathLst>
        </a:custGeom>
        <a:noFill/>
        <a:ln w="19050" cap="flat" cmpd="sng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48</xdr:col>
      <xdr:colOff>171454</xdr:colOff>
      <xdr:row>3</xdr:row>
      <xdr:rowOff>153459</xdr:rowOff>
    </xdr:from>
    <xdr:to>
      <xdr:col>49</xdr:col>
      <xdr:colOff>66679</xdr:colOff>
      <xdr:row>4</xdr:row>
      <xdr:rowOff>48684</xdr:rowOff>
    </xdr:to>
    <xdr:sp macro="" textlink="">
      <xdr:nvSpPr>
        <xdr:cNvPr id="203" name="Oval 4848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>
          <a:spLocks noChangeArrowheads="1"/>
        </xdr:cNvSpPr>
      </xdr:nvSpPr>
      <xdr:spPr bwMode="auto">
        <a:xfrm>
          <a:off x="9294287" y="724959"/>
          <a:ext cx="85725" cy="8572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49</xdr:col>
      <xdr:colOff>11642</xdr:colOff>
      <xdr:row>11</xdr:row>
      <xdr:rowOff>0</xdr:rowOff>
    </xdr:from>
    <xdr:to>
      <xdr:col>49</xdr:col>
      <xdr:colOff>11642</xdr:colOff>
      <xdr:row>13</xdr:row>
      <xdr:rowOff>114300</xdr:rowOff>
    </xdr:to>
    <xdr:sp macro="" textlink="">
      <xdr:nvSpPr>
        <xdr:cNvPr id="204" name="Line 3986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>
          <a:spLocks noChangeShapeType="1"/>
        </xdr:cNvSpPr>
      </xdr:nvSpPr>
      <xdr:spPr bwMode="auto">
        <a:xfrm flipV="1">
          <a:off x="9324975" y="2095500"/>
          <a:ext cx="0" cy="49530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49</xdr:col>
      <xdr:colOff>15876</xdr:colOff>
      <xdr:row>3</xdr:row>
      <xdr:rowOff>184150</xdr:rowOff>
    </xdr:from>
    <xdr:to>
      <xdr:col>49</xdr:col>
      <xdr:colOff>15876</xdr:colOff>
      <xdr:row>5</xdr:row>
      <xdr:rowOff>163150</xdr:rowOff>
    </xdr:to>
    <xdr:sp macro="" textlink="">
      <xdr:nvSpPr>
        <xdr:cNvPr id="205" name="Line 3986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>
          <a:spLocks noChangeShapeType="1"/>
        </xdr:cNvSpPr>
      </xdr:nvSpPr>
      <xdr:spPr bwMode="auto">
        <a:xfrm flipV="1">
          <a:off x="9329209" y="755650"/>
          <a:ext cx="0" cy="36000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62</xdr:col>
      <xdr:colOff>157693</xdr:colOff>
      <xdr:row>4</xdr:row>
      <xdr:rowOff>19051</xdr:rowOff>
    </xdr:from>
    <xdr:to>
      <xdr:col>62</xdr:col>
      <xdr:colOff>157693</xdr:colOff>
      <xdr:row>5</xdr:row>
      <xdr:rowOff>152551</xdr:rowOff>
    </xdr:to>
    <xdr:sp macro="" textlink="">
      <xdr:nvSpPr>
        <xdr:cNvPr id="206" name="Line 3986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>
          <a:spLocks noChangeShapeType="1"/>
        </xdr:cNvSpPr>
      </xdr:nvSpPr>
      <xdr:spPr bwMode="auto">
        <a:xfrm flipV="1">
          <a:off x="11947526" y="781051"/>
          <a:ext cx="0" cy="32400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40</xdr:col>
      <xdr:colOff>189442</xdr:colOff>
      <xdr:row>27</xdr:row>
      <xdr:rowOff>14817</xdr:rowOff>
    </xdr:from>
    <xdr:to>
      <xdr:col>77</xdr:col>
      <xdr:colOff>34925</xdr:colOff>
      <xdr:row>27</xdr:row>
      <xdr:rowOff>14817</xdr:rowOff>
    </xdr:to>
    <xdr:sp macro="" textlink="">
      <xdr:nvSpPr>
        <xdr:cNvPr id="207" name="Line 3849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>
          <a:spLocks noChangeShapeType="1"/>
        </xdr:cNvSpPr>
      </xdr:nvSpPr>
      <xdr:spPr bwMode="auto">
        <a:xfrm>
          <a:off x="7788275" y="5158317"/>
          <a:ext cx="6893983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62</xdr:col>
      <xdr:colOff>110068</xdr:colOff>
      <xdr:row>26</xdr:row>
      <xdr:rowOff>164042</xdr:rowOff>
    </xdr:from>
    <xdr:to>
      <xdr:col>63</xdr:col>
      <xdr:colOff>5293</xdr:colOff>
      <xdr:row>27</xdr:row>
      <xdr:rowOff>59267</xdr:rowOff>
    </xdr:to>
    <xdr:sp macro="" textlink="">
      <xdr:nvSpPr>
        <xdr:cNvPr id="208" name="Oval 4000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>
          <a:spLocks noChangeArrowheads="1"/>
        </xdr:cNvSpPr>
      </xdr:nvSpPr>
      <xdr:spPr bwMode="auto">
        <a:xfrm>
          <a:off x="11899901" y="5117042"/>
          <a:ext cx="85725" cy="8572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70</xdr:col>
      <xdr:colOff>188386</xdr:colOff>
      <xdr:row>3</xdr:row>
      <xdr:rowOff>157703</xdr:rowOff>
    </xdr:from>
    <xdr:to>
      <xdr:col>71</xdr:col>
      <xdr:colOff>83611</xdr:colOff>
      <xdr:row>4</xdr:row>
      <xdr:rowOff>52928</xdr:rowOff>
    </xdr:to>
    <xdr:sp macro="" textlink="">
      <xdr:nvSpPr>
        <xdr:cNvPr id="209" name="Oval 4000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>
          <a:spLocks noChangeArrowheads="1"/>
        </xdr:cNvSpPr>
      </xdr:nvSpPr>
      <xdr:spPr bwMode="auto">
        <a:xfrm>
          <a:off x="13502219" y="729203"/>
          <a:ext cx="85725" cy="8572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14</xdr:col>
      <xdr:colOff>182033</xdr:colOff>
      <xdr:row>8</xdr:row>
      <xdr:rowOff>0</xdr:rowOff>
    </xdr:from>
    <xdr:to>
      <xdr:col>17</xdr:col>
      <xdr:colOff>77258</xdr:colOff>
      <xdr:row>8</xdr:row>
      <xdr:rowOff>0</xdr:rowOff>
    </xdr:to>
    <xdr:sp macro="" textlink="">
      <xdr:nvSpPr>
        <xdr:cNvPr id="210" name="Line 2250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>
          <a:spLocks noChangeShapeType="1"/>
        </xdr:cNvSpPr>
      </xdr:nvSpPr>
      <xdr:spPr bwMode="auto">
        <a:xfrm>
          <a:off x="2838450" y="1524000"/>
          <a:ext cx="466725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40</xdr:col>
      <xdr:colOff>101601</xdr:colOff>
      <xdr:row>4</xdr:row>
      <xdr:rowOff>4234</xdr:rowOff>
    </xdr:from>
    <xdr:to>
      <xdr:col>42</xdr:col>
      <xdr:colOff>187326</xdr:colOff>
      <xdr:row>4</xdr:row>
      <xdr:rowOff>4234</xdr:rowOff>
    </xdr:to>
    <xdr:sp macro="" textlink="">
      <xdr:nvSpPr>
        <xdr:cNvPr id="211" name="Line 2250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>
          <a:spLocks noChangeShapeType="1"/>
        </xdr:cNvSpPr>
      </xdr:nvSpPr>
      <xdr:spPr bwMode="auto">
        <a:xfrm>
          <a:off x="7700434" y="766234"/>
          <a:ext cx="466725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71</xdr:col>
      <xdr:colOff>42334</xdr:colOff>
      <xdr:row>4</xdr:row>
      <xdr:rowOff>19050</xdr:rowOff>
    </xdr:from>
    <xdr:to>
      <xdr:col>76</xdr:col>
      <xdr:colOff>95250</xdr:colOff>
      <xdr:row>4</xdr:row>
      <xdr:rowOff>19050</xdr:rowOff>
    </xdr:to>
    <xdr:sp macro="" textlink="">
      <xdr:nvSpPr>
        <xdr:cNvPr id="212" name="Line 2250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>
          <a:spLocks noChangeShapeType="1"/>
        </xdr:cNvSpPr>
      </xdr:nvSpPr>
      <xdr:spPr bwMode="auto">
        <a:xfrm>
          <a:off x="13546667" y="781050"/>
          <a:ext cx="1005416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27</xdr:row>
      <xdr:rowOff>0</xdr:rowOff>
    </xdr:from>
    <xdr:to>
      <xdr:col>36</xdr:col>
      <xdr:colOff>104775</xdr:colOff>
      <xdr:row>27</xdr:row>
      <xdr:rowOff>0</xdr:rowOff>
    </xdr:to>
    <xdr:sp macro="" textlink="">
      <xdr:nvSpPr>
        <xdr:cNvPr id="2" name="Line 3849">
          <a:extLst>
            <a:ext uri="{FF2B5EF4-FFF2-40B4-BE49-F238E27FC236}">
              <a16:creationId xmlns:a16="http://schemas.microsoft.com/office/drawing/2014/main" id="{7552A051-2115-44B2-8E9B-6DCD7D25CD69}"/>
            </a:ext>
          </a:extLst>
        </xdr:cNvPr>
        <xdr:cNvSpPr>
          <a:spLocks noChangeShapeType="1"/>
        </xdr:cNvSpPr>
      </xdr:nvSpPr>
      <xdr:spPr bwMode="auto">
        <a:xfrm>
          <a:off x="47625" y="5143500"/>
          <a:ext cx="689610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29</xdr:col>
      <xdr:colOff>66675</xdr:colOff>
      <xdr:row>20</xdr:row>
      <xdr:rowOff>95250</xdr:rowOff>
    </xdr:from>
    <xdr:to>
      <xdr:col>30</xdr:col>
      <xdr:colOff>85725</xdr:colOff>
      <xdr:row>22</xdr:row>
      <xdr:rowOff>161925</xdr:rowOff>
    </xdr:to>
    <xdr:grpSp>
      <xdr:nvGrpSpPr>
        <xdr:cNvPr id="3" name="Group 4836">
          <a:extLst>
            <a:ext uri="{FF2B5EF4-FFF2-40B4-BE49-F238E27FC236}">
              <a16:creationId xmlns:a16="http://schemas.microsoft.com/office/drawing/2014/main" id="{3ACC8002-6E24-44E4-A306-194071FF39C4}"/>
            </a:ext>
          </a:extLst>
        </xdr:cNvPr>
        <xdr:cNvGrpSpPr>
          <a:grpSpLocks/>
        </xdr:cNvGrpSpPr>
      </xdr:nvGrpSpPr>
      <xdr:grpSpPr bwMode="auto">
        <a:xfrm>
          <a:off x="5577568" y="3905250"/>
          <a:ext cx="209550" cy="447675"/>
          <a:chOff x="1788" y="432"/>
          <a:chExt cx="22" cy="47"/>
        </a:xfrm>
      </xdr:grpSpPr>
      <xdr:sp macro="" textlink="">
        <xdr:nvSpPr>
          <xdr:cNvPr id="4" name="Line 4837">
            <a:extLst>
              <a:ext uri="{FF2B5EF4-FFF2-40B4-BE49-F238E27FC236}">
                <a16:creationId xmlns:a16="http://schemas.microsoft.com/office/drawing/2014/main" id="{4EA3E42A-5BFB-198B-D96F-D54B232937CE}"/>
              </a:ext>
            </a:extLst>
          </xdr:cNvPr>
          <xdr:cNvSpPr>
            <a:spLocks noChangeAspect="1" noChangeShapeType="1"/>
          </xdr:cNvSpPr>
        </xdr:nvSpPr>
        <xdr:spPr bwMode="auto">
          <a:xfrm rot="10800000">
            <a:off x="1799" y="445"/>
            <a:ext cx="11" cy="3"/>
          </a:xfrm>
          <a:prstGeom prst="line">
            <a:avLst/>
          </a:prstGeom>
          <a:noFill/>
          <a:ln w="190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" name="Line 4838">
            <a:extLst>
              <a:ext uri="{FF2B5EF4-FFF2-40B4-BE49-F238E27FC236}">
                <a16:creationId xmlns:a16="http://schemas.microsoft.com/office/drawing/2014/main" id="{E4C27CF0-F2F6-0CD6-64D1-26BAE1DFD5BB}"/>
              </a:ext>
            </a:extLst>
          </xdr:cNvPr>
          <xdr:cNvSpPr>
            <a:spLocks noChangeAspect="1" noChangeShapeType="1"/>
          </xdr:cNvSpPr>
        </xdr:nvSpPr>
        <xdr:spPr bwMode="auto">
          <a:xfrm rot="10800000" flipV="1">
            <a:off x="1788" y="448"/>
            <a:ext cx="22" cy="6"/>
          </a:xfrm>
          <a:prstGeom prst="line">
            <a:avLst/>
          </a:prstGeom>
          <a:noFill/>
          <a:ln w="190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" name="Line 4839">
            <a:extLst>
              <a:ext uri="{FF2B5EF4-FFF2-40B4-BE49-F238E27FC236}">
                <a16:creationId xmlns:a16="http://schemas.microsoft.com/office/drawing/2014/main" id="{003FD788-5D97-91ED-A773-6C062BD3724D}"/>
              </a:ext>
            </a:extLst>
          </xdr:cNvPr>
          <xdr:cNvSpPr>
            <a:spLocks noChangeAspect="1" noChangeShapeType="1"/>
          </xdr:cNvSpPr>
        </xdr:nvSpPr>
        <xdr:spPr bwMode="auto">
          <a:xfrm rot="10800000">
            <a:off x="1788" y="454"/>
            <a:ext cx="22" cy="5"/>
          </a:xfrm>
          <a:prstGeom prst="line">
            <a:avLst/>
          </a:prstGeom>
          <a:noFill/>
          <a:ln w="190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" name="Line 4840">
            <a:extLst>
              <a:ext uri="{FF2B5EF4-FFF2-40B4-BE49-F238E27FC236}">
                <a16:creationId xmlns:a16="http://schemas.microsoft.com/office/drawing/2014/main" id="{DA87CD8C-AC0D-5181-99BE-27516200774F}"/>
              </a:ext>
            </a:extLst>
          </xdr:cNvPr>
          <xdr:cNvSpPr>
            <a:spLocks noChangeAspect="1" noChangeShapeType="1"/>
          </xdr:cNvSpPr>
        </xdr:nvSpPr>
        <xdr:spPr bwMode="auto">
          <a:xfrm rot="10800000" flipV="1">
            <a:off x="1788" y="459"/>
            <a:ext cx="22" cy="6"/>
          </a:xfrm>
          <a:prstGeom prst="line">
            <a:avLst/>
          </a:prstGeom>
          <a:noFill/>
          <a:ln w="190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" name="Line 4841">
            <a:extLst>
              <a:ext uri="{FF2B5EF4-FFF2-40B4-BE49-F238E27FC236}">
                <a16:creationId xmlns:a16="http://schemas.microsoft.com/office/drawing/2014/main" id="{558A2B21-D938-9DBE-0F83-ED6C17A66153}"/>
              </a:ext>
            </a:extLst>
          </xdr:cNvPr>
          <xdr:cNvSpPr>
            <a:spLocks noChangeAspect="1" noChangeShapeType="1"/>
          </xdr:cNvSpPr>
        </xdr:nvSpPr>
        <xdr:spPr bwMode="auto">
          <a:xfrm rot="10800000">
            <a:off x="1788" y="465"/>
            <a:ext cx="22" cy="5"/>
          </a:xfrm>
          <a:prstGeom prst="line">
            <a:avLst/>
          </a:prstGeom>
          <a:noFill/>
          <a:ln w="190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" name="Line 4842">
            <a:extLst>
              <a:ext uri="{FF2B5EF4-FFF2-40B4-BE49-F238E27FC236}">
                <a16:creationId xmlns:a16="http://schemas.microsoft.com/office/drawing/2014/main" id="{30DD2A6C-CBAE-2081-2767-3DB51364090D}"/>
              </a:ext>
            </a:extLst>
          </xdr:cNvPr>
          <xdr:cNvSpPr>
            <a:spLocks noChangeAspect="1" noChangeShapeType="1"/>
          </xdr:cNvSpPr>
        </xdr:nvSpPr>
        <xdr:spPr bwMode="auto">
          <a:xfrm rot="10800000" flipV="1">
            <a:off x="1788" y="470"/>
            <a:ext cx="22" cy="6"/>
          </a:xfrm>
          <a:prstGeom prst="line">
            <a:avLst/>
          </a:prstGeom>
          <a:noFill/>
          <a:ln w="190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" name="Line 4843">
            <a:extLst>
              <a:ext uri="{FF2B5EF4-FFF2-40B4-BE49-F238E27FC236}">
                <a16:creationId xmlns:a16="http://schemas.microsoft.com/office/drawing/2014/main" id="{CE915906-7AB1-82CD-9C1A-49F6430A3384}"/>
              </a:ext>
            </a:extLst>
          </xdr:cNvPr>
          <xdr:cNvSpPr>
            <a:spLocks noChangeAspect="1" noChangeShapeType="1"/>
          </xdr:cNvSpPr>
        </xdr:nvSpPr>
        <xdr:spPr bwMode="auto">
          <a:xfrm rot="10800000">
            <a:off x="1788" y="476"/>
            <a:ext cx="11" cy="3"/>
          </a:xfrm>
          <a:prstGeom prst="line">
            <a:avLst/>
          </a:prstGeom>
          <a:noFill/>
          <a:ln w="190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" name="Line 4844">
            <a:extLst>
              <a:ext uri="{FF2B5EF4-FFF2-40B4-BE49-F238E27FC236}">
                <a16:creationId xmlns:a16="http://schemas.microsoft.com/office/drawing/2014/main" id="{197B974A-A8F7-64C3-1270-0A6093297175}"/>
              </a:ext>
            </a:extLst>
          </xdr:cNvPr>
          <xdr:cNvSpPr>
            <a:spLocks noChangeAspect="1" noChangeShapeType="1"/>
          </xdr:cNvSpPr>
        </xdr:nvSpPr>
        <xdr:spPr bwMode="auto">
          <a:xfrm rot="10800000">
            <a:off x="1799" y="432"/>
            <a:ext cx="0" cy="14"/>
          </a:xfrm>
          <a:prstGeom prst="line">
            <a:avLst/>
          </a:prstGeom>
          <a:noFill/>
          <a:ln w="190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23</xdr:col>
      <xdr:colOff>152400</xdr:colOff>
      <xdr:row>11</xdr:row>
      <xdr:rowOff>0</xdr:rowOff>
    </xdr:from>
    <xdr:to>
      <xdr:col>35</xdr:col>
      <xdr:colOff>152400</xdr:colOff>
      <xdr:row>11</xdr:row>
      <xdr:rowOff>0</xdr:rowOff>
    </xdr:to>
    <xdr:sp macro="" textlink="">
      <xdr:nvSpPr>
        <xdr:cNvPr id="12" name="Line 4845">
          <a:extLst>
            <a:ext uri="{FF2B5EF4-FFF2-40B4-BE49-F238E27FC236}">
              <a16:creationId xmlns:a16="http://schemas.microsoft.com/office/drawing/2014/main" id="{36357925-101C-4288-94E9-C85BBFDFAD81}"/>
            </a:ext>
          </a:extLst>
        </xdr:cNvPr>
        <xdr:cNvSpPr>
          <a:spLocks noChangeShapeType="1"/>
        </xdr:cNvSpPr>
      </xdr:nvSpPr>
      <xdr:spPr bwMode="auto">
        <a:xfrm>
          <a:off x="4524375" y="2095500"/>
          <a:ext cx="228600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29</xdr:col>
      <xdr:colOff>171450</xdr:colOff>
      <xdr:row>10</xdr:row>
      <xdr:rowOff>161925</xdr:rowOff>
    </xdr:from>
    <xdr:to>
      <xdr:col>29</xdr:col>
      <xdr:colOff>171450</xdr:colOff>
      <xdr:row>20</xdr:row>
      <xdr:rowOff>114300</xdr:rowOff>
    </xdr:to>
    <xdr:sp macro="" textlink="">
      <xdr:nvSpPr>
        <xdr:cNvPr id="13" name="Line 4847">
          <a:extLst>
            <a:ext uri="{FF2B5EF4-FFF2-40B4-BE49-F238E27FC236}">
              <a16:creationId xmlns:a16="http://schemas.microsoft.com/office/drawing/2014/main" id="{41566A18-6D3F-4C95-9385-91C9F6FF752C}"/>
            </a:ext>
          </a:extLst>
        </xdr:cNvPr>
        <xdr:cNvSpPr>
          <a:spLocks noChangeShapeType="1"/>
        </xdr:cNvSpPr>
      </xdr:nvSpPr>
      <xdr:spPr bwMode="auto">
        <a:xfrm>
          <a:off x="5686425" y="2066925"/>
          <a:ext cx="0" cy="1857375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29</xdr:col>
      <xdr:colOff>152400</xdr:colOff>
      <xdr:row>10</xdr:row>
      <xdr:rowOff>152400</xdr:rowOff>
    </xdr:from>
    <xdr:to>
      <xdr:col>30</xdr:col>
      <xdr:colOff>47625</xdr:colOff>
      <xdr:row>11</xdr:row>
      <xdr:rowOff>47625</xdr:rowOff>
    </xdr:to>
    <xdr:sp macro="" textlink="">
      <xdr:nvSpPr>
        <xdr:cNvPr id="14" name="Oval 4848">
          <a:extLst>
            <a:ext uri="{FF2B5EF4-FFF2-40B4-BE49-F238E27FC236}">
              <a16:creationId xmlns:a16="http://schemas.microsoft.com/office/drawing/2014/main" id="{114D4186-D9B7-4FC6-9596-46044EB61413}"/>
            </a:ext>
          </a:extLst>
        </xdr:cNvPr>
        <xdr:cNvSpPr>
          <a:spLocks noChangeArrowheads="1"/>
        </xdr:cNvSpPr>
      </xdr:nvSpPr>
      <xdr:spPr bwMode="auto">
        <a:xfrm>
          <a:off x="5667375" y="2057400"/>
          <a:ext cx="85725" cy="8572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29</xdr:col>
      <xdr:colOff>171450</xdr:colOff>
      <xdr:row>22</xdr:row>
      <xdr:rowOff>161925</xdr:rowOff>
    </xdr:from>
    <xdr:to>
      <xdr:col>29</xdr:col>
      <xdr:colOff>171450</xdr:colOff>
      <xdr:row>26</xdr:row>
      <xdr:rowOff>142875</xdr:rowOff>
    </xdr:to>
    <xdr:sp macro="" textlink="">
      <xdr:nvSpPr>
        <xdr:cNvPr id="15" name="Line 4850">
          <a:extLst>
            <a:ext uri="{FF2B5EF4-FFF2-40B4-BE49-F238E27FC236}">
              <a16:creationId xmlns:a16="http://schemas.microsoft.com/office/drawing/2014/main" id="{FCA921C9-4A6C-439F-875C-8FAB44F3BB63}"/>
            </a:ext>
          </a:extLst>
        </xdr:cNvPr>
        <xdr:cNvSpPr>
          <a:spLocks noChangeShapeType="1"/>
        </xdr:cNvSpPr>
      </xdr:nvSpPr>
      <xdr:spPr bwMode="auto">
        <a:xfrm>
          <a:off x="5686425" y="4352925"/>
          <a:ext cx="0" cy="74295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133350</xdr:colOff>
      <xdr:row>11</xdr:row>
      <xdr:rowOff>0</xdr:rowOff>
    </xdr:from>
    <xdr:to>
      <xdr:col>6</xdr:col>
      <xdr:colOff>19050</xdr:colOff>
      <xdr:row>11</xdr:row>
      <xdr:rowOff>0</xdr:rowOff>
    </xdr:to>
    <xdr:sp macro="" textlink="">
      <xdr:nvSpPr>
        <xdr:cNvPr id="16" name="Line 4948">
          <a:extLst>
            <a:ext uri="{FF2B5EF4-FFF2-40B4-BE49-F238E27FC236}">
              <a16:creationId xmlns:a16="http://schemas.microsoft.com/office/drawing/2014/main" id="{5E3A7230-240A-4E9B-AFA7-E6D5E8FB71FD}"/>
            </a:ext>
          </a:extLst>
        </xdr:cNvPr>
        <xdr:cNvSpPr>
          <a:spLocks noChangeShapeType="1"/>
        </xdr:cNvSpPr>
      </xdr:nvSpPr>
      <xdr:spPr bwMode="auto">
        <a:xfrm>
          <a:off x="133350" y="2095500"/>
          <a:ext cx="102870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9525</xdr:colOff>
      <xdr:row>10</xdr:row>
      <xdr:rowOff>85725</xdr:rowOff>
    </xdr:from>
    <xdr:to>
      <xdr:col>9</xdr:col>
      <xdr:colOff>28575</xdr:colOff>
      <xdr:row>11</xdr:row>
      <xdr:rowOff>104775</xdr:rowOff>
    </xdr:to>
    <xdr:grpSp>
      <xdr:nvGrpSpPr>
        <xdr:cNvPr id="17" name="Group 4624">
          <a:extLst>
            <a:ext uri="{FF2B5EF4-FFF2-40B4-BE49-F238E27FC236}">
              <a16:creationId xmlns:a16="http://schemas.microsoft.com/office/drawing/2014/main" id="{0F3C86A4-09FC-40C6-A89B-376E20E68E9C}"/>
            </a:ext>
          </a:extLst>
        </xdr:cNvPr>
        <xdr:cNvGrpSpPr>
          <a:grpSpLocks/>
        </xdr:cNvGrpSpPr>
      </xdr:nvGrpSpPr>
      <xdr:grpSpPr bwMode="auto">
        <a:xfrm>
          <a:off x="1152525" y="1990725"/>
          <a:ext cx="576943" cy="209550"/>
          <a:chOff x="965" y="749"/>
          <a:chExt cx="62" cy="22"/>
        </a:xfrm>
      </xdr:grpSpPr>
      <xdr:sp macro="" textlink="">
        <xdr:nvSpPr>
          <xdr:cNvPr id="18" name="Line 4625">
            <a:extLst>
              <a:ext uri="{FF2B5EF4-FFF2-40B4-BE49-F238E27FC236}">
                <a16:creationId xmlns:a16="http://schemas.microsoft.com/office/drawing/2014/main" id="{5F3417DB-6E9E-7FE9-87D8-98219FB60768}"/>
              </a:ext>
            </a:extLst>
          </xdr:cNvPr>
          <xdr:cNvSpPr>
            <a:spLocks noChangeAspect="1" noChangeShapeType="1"/>
          </xdr:cNvSpPr>
        </xdr:nvSpPr>
        <xdr:spPr bwMode="auto">
          <a:xfrm rot="-5400000">
            <a:off x="1006" y="764"/>
            <a:ext cx="11" cy="3"/>
          </a:xfrm>
          <a:prstGeom prst="line">
            <a:avLst/>
          </a:prstGeom>
          <a:noFill/>
          <a:ln w="190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" name="Line 4626">
            <a:extLst>
              <a:ext uri="{FF2B5EF4-FFF2-40B4-BE49-F238E27FC236}">
                <a16:creationId xmlns:a16="http://schemas.microsoft.com/office/drawing/2014/main" id="{317169F5-C2F3-0B7A-1092-DC1FAFCEB1CE}"/>
              </a:ext>
            </a:extLst>
          </xdr:cNvPr>
          <xdr:cNvSpPr>
            <a:spLocks noChangeAspect="1" noChangeShapeType="1"/>
          </xdr:cNvSpPr>
        </xdr:nvSpPr>
        <xdr:spPr bwMode="auto">
          <a:xfrm rot="16200000" flipV="1">
            <a:off x="996" y="757"/>
            <a:ext cx="22" cy="6"/>
          </a:xfrm>
          <a:prstGeom prst="line">
            <a:avLst/>
          </a:prstGeom>
          <a:noFill/>
          <a:ln w="190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0" name="Line 4627">
            <a:extLst>
              <a:ext uri="{FF2B5EF4-FFF2-40B4-BE49-F238E27FC236}">
                <a16:creationId xmlns:a16="http://schemas.microsoft.com/office/drawing/2014/main" id="{42F7F3D6-963D-3CD1-4DB1-FC14B8817202}"/>
              </a:ext>
            </a:extLst>
          </xdr:cNvPr>
          <xdr:cNvSpPr>
            <a:spLocks noChangeAspect="1" noChangeShapeType="1"/>
          </xdr:cNvSpPr>
        </xdr:nvSpPr>
        <xdr:spPr bwMode="auto">
          <a:xfrm rot="-5400000">
            <a:off x="990" y="757"/>
            <a:ext cx="22" cy="5"/>
          </a:xfrm>
          <a:prstGeom prst="line">
            <a:avLst/>
          </a:prstGeom>
          <a:noFill/>
          <a:ln w="190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1" name="Line 4628">
            <a:extLst>
              <a:ext uri="{FF2B5EF4-FFF2-40B4-BE49-F238E27FC236}">
                <a16:creationId xmlns:a16="http://schemas.microsoft.com/office/drawing/2014/main" id="{33A3124D-99B8-521B-2909-4F47A4524512}"/>
              </a:ext>
            </a:extLst>
          </xdr:cNvPr>
          <xdr:cNvSpPr>
            <a:spLocks noChangeAspect="1" noChangeShapeType="1"/>
          </xdr:cNvSpPr>
        </xdr:nvSpPr>
        <xdr:spPr bwMode="auto">
          <a:xfrm rot="16200000" flipV="1">
            <a:off x="985" y="757"/>
            <a:ext cx="22" cy="6"/>
          </a:xfrm>
          <a:prstGeom prst="line">
            <a:avLst/>
          </a:prstGeom>
          <a:noFill/>
          <a:ln w="190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2" name="Line 4629">
            <a:extLst>
              <a:ext uri="{FF2B5EF4-FFF2-40B4-BE49-F238E27FC236}">
                <a16:creationId xmlns:a16="http://schemas.microsoft.com/office/drawing/2014/main" id="{3FC9202E-0477-958C-E325-AD2146367A03}"/>
              </a:ext>
            </a:extLst>
          </xdr:cNvPr>
          <xdr:cNvSpPr>
            <a:spLocks noChangeAspect="1" noChangeShapeType="1"/>
          </xdr:cNvSpPr>
        </xdr:nvSpPr>
        <xdr:spPr bwMode="auto">
          <a:xfrm rot="-5400000">
            <a:off x="979" y="757"/>
            <a:ext cx="22" cy="5"/>
          </a:xfrm>
          <a:prstGeom prst="line">
            <a:avLst/>
          </a:prstGeom>
          <a:noFill/>
          <a:ln w="190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" name="Line 4630">
            <a:extLst>
              <a:ext uri="{FF2B5EF4-FFF2-40B4-BE49-F238E27FC236}">
                <a16:creationId xmlns:a16="http://schemas.microsoft.com/office/drawing/2014/main" id="{3F37AD2B-B5AA-80EA-DF8E-B23735074DBC}"/>
              </a:ext>
            </a:extLst>
          </xdr:cNvPr>
          <xdr:cNvSpPr>
            <a:spLocks noChangeAspect="1" noChangeShapeType="1"/>
          </xdr:cNvSpPr>
        </xdr:nvSpPr>
        <xdr:spPr bwMode="auto">
          <a:xfrm rot="16200000" flipV="1">
            <a:off x="973" y="757"/>
            <a:ext cx="22" cy="6"/>
          </a:xfrm>
          <a:prstGeom prst="line">
            <a:avLst/>
          </a:prstGeom>
          <a:noFill/>
          <a:ln w="190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4" name="Line 4631">
            <a:extLst>
              <a:ext uri="{FF2B5EF4-FFF2-40B4-BE49-F238E27FC236}">
                <a16:creationId xmlns:a16="http://schemas.microsoft.com/office/drawing/2014/main" id="{0B22B782-393C-CAFE-1DBD-9571751FA9CC}"/>
              </a:ext>
            </a:extLst>
          </xdr:cNvPr>
          <xdr:cNvSpPr>
            <a:spLocks noChangeAspect="1" noChangeShapeType="1"/>
          </xdr:cNvSpPr>
        </xdr:nvSpPr>
        <xdr:spPr bwMode="auto">
          <a:xfrm rot="-5400000">
            <a:off x="974" y="753"/>
            <a:ext cx="11" cy="3"/>
          </a:xfrm>
          <a:prstGeom prst="line">
            <a:avLst/>
          </a:prstGeom>
          <a:noFill/>
          <a:ln w="190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5" name="Line 4632">
            <a:extLst>
              <a:ext uri="{FF2B5EF4-FFF2-40B4-BE49-F238E27FC236}">
                <a16:creationId xmlns:a16="http://schemas.microsoft.com/office/drawing/2014/main" id="{6AC2129D-ADA5-1C75-533C-9DA6AF50AFD3}"/>
              </a:ext>
            </a:extLst>
          </xdr:cNvPr>
          <xdr:cNvSpPr>
            <a:spLocks noChangeAspect="1" noChangeShapeType="1"/>
          </xdr:cNvSpPr>
        </xdr:nvSpPr>
        <xdr:spPr bwMode="auto">
          <a:xfrm rot="-5400000">
            <a:off x="1020" y="753"/>
            <a:ext cx="0" cy="14"/>
          </a:xfrm>
          <a:prstGeom prst="line">
            <a:avLst/>
          </a:prstGeom>
          <a:noFill/>
          <a:ln w="190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6" name="Line 4633">
            <a:extLst>
              <a:ext uri="{FF2B5EF4-FFF2-40B4-BE49-F238E27FC236}">
                <a16:creationId xmlns:a16="http://schemas.microsoft.com/office/drawing/2014/main" id="{CBC99CE4-1675-C543-D86B-6E82D84CE69D}"/>
              </a:ext>
            </a:extLst>
          </xdr:cNvPr>
          <xdr:cNvSpPr>
            <a:spLocks noChangeAspect="1" noChangeShapeType="1"/>
          </xdr:cNvSpPr>
        </xdr:nvSpPr>
        <xdr:spPr bwMode="auto">
          <a:xfrm rot="-5400000">
            <a:off x="972" y="753"/>
            <a:ext cx="0" cy="14"/>
          </a:xfrm>
          <a:prstGeom prst="line">
            <a:avLst/>
          </a:prstGeom>
          <a:noFill/>
          <a:ln w="190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10</xdr:col>
      <xdr:colOff>152400</xdr:colOff>
      <xdr:row>10</xdr:row>
      <xdr:rowOff>85725</xdr:rowOff>
    </xdr:from>
    <xdr:to>
      <xdr:col>13</xdr:col>
      <xdr:colOff>171450</xdr:colOff>
      <xdr:row>11</xdr:row>
      <xdr:rowOff>104775</xdr:rowOff>
    </xdr:to>
    <xdr:grpSp>
      <xdr:nvGrpSpPr>
        <xdr:cNvPr id="27" name="Group 4624">
          <a:extLst>
            <a:ext uri="{FF2B5EF4-FFF2-40B4-BE49-F238E27FC236}">
              <a16:creationId xmlns:a16="http://schemas.microsoft.com/office/drawing/2014/main" id="{3D1E4F1D-CB42-4319-A81D-5D86EF65A608}"/>
            </a:ext>
          </a:extLst>
        </xdr:cNvPr>
        <xdr:cNvGrpSpPr>
          <a:grpSpLocks/>
        </xdr:cNvGrpSpPr>
      </xdr:nvGrpSpPr>
      <xdr:grpSpPr bwMode="auto">
        <a:xfrm>
          <a:off x="2043793" y="1990725"/>
          <a:ext cx="590550" cy="209550"/>
          <a:chOff x="965" y="749"/>
          <a:chExt cx="62" cy="22"/>
        </a:xfrm>
      </xdr:grpSpPr>
      <xdr:sp macro="" textlink="">
        <xdr:nvSpPr>
          <xdr:cNvPr id="28" name="Line 4625">
            <a:extLst>
              <a:ext uri="{FF2B5EF4-FFF2-40B4-BE49-F238E27FC236}">
                <a16:creationId xmlns:a16="http://schemas.microsoft.com/office/drawing/2014/main" id="{891FF4B9-705D-A1E9-3A88-0545B5D8266C}"/>
              </a:ext>
            </a:extLst>
          </xdr:cNvPr>
          <xdr:cNvSpPr>
            <a:spLocks noChangeAspect="1" noChangeShapeType="1"/>
          </xdr:cNvSpPr>
        </xdr:nvSpPr>
        <xdr:spPr bwMode="auto">
          <a:xfrm rot="-5400000">
            <a:off x="1006" y="764"/>
            <a:ext cx="11" cy="3"/>
          </a:xfrm>
          <a:prstGeom prst="line">
            <a:avLst/>
          </a:prstGeom>
          <a:noFill/>
          <a:ln w="190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9" name="Line 4626">
            <a:extLst>
              <a:ext uri="{FF2B5EF4-FFF2-40B4-BE49-F238E27FC236}">
                <a16:creationId xmlns:a16="http://schemas.microsoft.com/office/drawing/2014/main" id="{0EDA0F96-6B47-70CB-D3C6-9EF3BEDD326C}"/>
              </a:ext>
            </a:extLst>
          </xdr:cNvPr>
          <xdr:cNvSpPr>
            <a:spLocks noChangeAspect="1" noChangeShapeType="1"/>
          </xdr:cNvSpPr>
        </xdr:nvSpPr>
        <xdr:spPr bwMode="auto">
          <a:xfrm rot="16200000" flipV="1">
            <a:off x="996" y="757"/>
            <a:ext cx="22" cy="6"/>
          </a:xfrm>
          <a:prstGeom prst="line">
            <a:avLst/>
          </a:prstGeom>
          <a:noFill/>
          <a:ln w="190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" name="Line 4627">
            <a:extLst>
              <a:ext uri="{FF2B5EF4-FFF2-40B4-BE49-F238E27FC236}">
                <a16:creationId xmlns:a16="http://schemas.microsoft.com/office/drawing/2014/main" id="{A9807BD2-40CC-E1A6-4D0E-72D216F02DD1}"/>
              </a:ext>
            </a:extLst>
          </xdr:cNvPr>
          <xdr:cNvSpPr>
            <a:spLocks noChangeAspect="1" noChangeShapeType="1"/>
          </xdr:cNvSpPr>
        </xdr:nvSpPr>
        <xdr:spPr bwMode="auto">
          <a:xfrm rot="-5400000">
            <a:off x="990" y="757"/>
            <a:ext cx="22" cy="5"/>
          </a:xfrm>
          <a:prstGeom prst="line">
            <a:avLst/>
          </a:prstGeom>
          <a:noFill/>
          <a:ln w="190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1" name="Line 4628">
            <a:extLst>
              <a:ext uri="{FF2B5EF4-FFF2-40B4-BE49-F238E27FC236}">
                <a16:creationId xmlns:a16="http://schemas.microsoft.com/office/drawing/2014/main" id="{96332F77-CB2A-A8FF-2800-A66C6D7101B7}"/>
              </a:ext>
            </a:extLst>
          </xdr:cNvPr>
          <xdr:cNvSpPr>
            <a:spLocks noChangeAspect="1" noChangeShapeType="1"/>
          </xdr:cNvSpPr>
        </xdr:nvSpPr>
        <xdr:spPr bwMode="auto">
          <a:xfrm rot="16200000" flipV="1">
            <a:off x="985" y="757"/>
            <a:ext cx="22" cy="6"/>
          </a:xfrm>
          <a:prstGeom prst="line">
            <a:avLst/>
          </a:prstGeom>
          <a:noFill/>
          <a:ln w="190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2" name="Line 4629">
            <a:extLst>
              <a:ext uri="{FF2B5EF4-FFF2-40B4-BE49-F238E27FC236}">
                <a16:creationId xmlns:a16="http://schemas.microsoft.com/office/drawing/2014/main" id="{61354BD1-161B-62D0-0E9B-6246180BABD7}"/>
              </a:ext>
            </a:extLst>
          </xdr:cNvPr>
          <xdr:cNvSpPr>
            <a:spLocks noChangeAspect="1" noChangeShapeType="1"/>
          </xdr:cNvSpPr>
        </xdr:nvSpPr>
        <xdr:spPr bwMode="auto">
          <a:xfrm rot="-5400000">
            <a:off x="979" y="757"/>
            <a:ext cx="22" cy="5"/>
          </a:xfrm>
          <a:prstGeom prst="line">
            <a:avLst/>
          </a:prstGeom>
          <a:noFill/>
          <a:ln w="190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3" name="Line 4630">
            <a:extLst>
              <a:ext uri="{FF2B5EF4-FFF2-40B4-BE49-F238E27FC236}">
                <a16:creationId xmlns:a16="http://schemas.microsoft.com/office/drawing/2014/main" id="{1265AA47-7095-BF84-9BE1-73E38813F74F}"/>
              </a:ext>
            </a:extLst>
          </xdr:cNvPr>
          <xdr:cNvSpPr>
            <a:spLocks noChangeAspect="1" noChangeShapeType="1"/>
          </xdr:cNvSpPr>
        </xdr:nvSpPr>
        <xdr:spPr bwMode="auto">
          <a:xfrm rot="16200000" flipV="1">
            <a:off x="973" y="757"/>
            <a:ext cx="22" cy="6"/>
          </a:xfrm>
          <a:prstGeom prst="line">
            <a:avLst/>
          </a:prstGeom>
          <a:noFill/>
          <a:ln w="190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4" name="Line 4631">
            <a:extLst>
              <a:ext uri="{FF2B5EF4-FFF2-40B4-BE49-F238E27FC236}">
                <a16:creationId xmlns:a16="http://schemas.microsoft.com/office/drawing/2014/main" id="{3EF6C31B-E44D-05BC-C514-020AA99A4987}"/>
              </a:ext>
            </a:extLst>
          </xdr:cNvPr>
          <xdr:cNvSpPr>
            <a:spLocks noChangeAspect="1" noChangeShapeType="1"/>
          </xdr:cNvSpPr>
        </xdr:nvSpPr>
        <xdr:spPr bwMode="auto">
          <a:xfrm rot="-5400000">
            <a:off x="974" y="753"/>
            <a:ext cx="11" cy="3"/>
          </a:xfrm>
          <a:prstGeom prst="line">
            <a:avLst/>
          </a:prstGeom>
          <a:noFill/>
          <a:ln w="190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5" name="Line 4632">
            <a:extLst>
              <a:ext uri="{FF2B5EF4-FFF2-40B4-BE49-F238E27FC236}">
                <a16:creationId xmlns:a16="http://schemas.microsoft.com/office/drawing/2014/main" id="{721F8628-94A6-75AD-8C90-3B880A7BBE2A}"/>
              </a:ext>
            </a:extLst>
          </xdr:cNvPr>
          <xdr:cNvSpPr>
            <a:spLocks noChangeAspect="1" noChangeShapeType="1"/>
          </xdr:cNvSpPr>
        </xdr:nvSpPr>
        <xdr:spPr bwMode="auto">
          <a:xfrm rot="-5400000">
            <a:off x="1020" y="753"/>
            <a:ext cx="0" cy="14"/>
          </a:xfrm>
          <a:prstGeom prst="line">
            <a:avLst/>
          </a:prstGeom>
          <a:noFill/>
          <a:ln w="190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6" name="Line 4633">
            <a:extLst>
              <a:ext uri="{FF2B5EF4-FFF2-40B4-BE49-F238E27FC236}">
                <a16:creationId xmlns:a16="http://schemas.microsoft.com/office/drawing/2014/main" id="{D3A4B244-DC6E-41A2-0F70-F7E668CF94C2}"/>
              </a:ext>
            </a:extLst>
          </xdr:cNvPr>
          <xdr:cNvSpPr>
            <a:spLocks noChangeAspect="1" noChangeShapeType="1"/>
          </xdr:cNvSpPr>
        </xdr:nvSpPr>
        <xdr:spPr bwMode="auto">
          <a:xfrm rot="-5400000">
            <a:off x="972" y="753"/>
            <a:ext cx="0" cy="14"/>
          </a:xfrm>
          <a:prstGeom prst="line">
            <a:avLst/>
          </a:prstGeom>
          <a:noFill/>
          <a:ln w="190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16</xdr:col>
      <xdr:colOff>19050</xdr:colOff>
      <xdr:row>10</xdr:row>
      <xdr:rowOff>85725</xdr:rowOff>
    </xdr:from>
    <xdr:to>
      <xdr:col>19</xdr:col>
      <xdr:colOff>38100</xdr:colOff>
      <xdr:row>11</xdr:row>
      <xdr:rowOff>104775</xdr:rowOff>
    </xdr:to>
    <xdr:grpSp>
      <xdr:nvGrpSpPr>
        <xdr:cNvPr id="37" name="Group 4624">
          <a:extLst>
            <a:ext uri="{FF2B5EF4-FFF2-40B4-BE49-F238E27FC236}">
              <a16:creationId xmlns:a16="http://schemas.microsoft.com/office/drawing/2014/main" id="{EAB61CB8-BEDA-4809-B0F7-28940331426F}"/>
            </a:ext>
          </a:extLst>
        </xdr:cNvPr>
        <xdr:cNvGrpSpPr>
          <a:grpSpLocks/>
        </xdr:cNvGrpSpPr>
      </xdr:nvGrpSpPr>
      <xdr:grpSpPr bwMode="auto">
        <a:xfrm>
          <a:off x="3053443" y="1990725"/>
          <a:ext cx="590550" cy="209550"/>
          <a:chOff x="965" y="749"/>
          <a:chExt cx="62" cy="22"/>
        </a:xfrm>
      </xdr:grpSpPr>
      <xdr:sp macro="" textlink="">
        <xdr:nvSpPr>
          <xdr:cNvPr id="38" name="Line 4625">
            <a:extLst>
              <a:ext uri="{FF2B5EF4-FFF2-40B4-BE49-F238E27FC236}">
                <a16:creationId xmlns:a16="http://schemas.microsoft.com/office/drawing/2014/main" id="{7E59FB8F-4861-90E4-AE5C-0FDF42AEDB18}"/>
              </a:ext>
            </a:extLst>
          </xdr:cNvPr>
          <xdr:cNvSpPr>
            <a:spLocks noChangeAspect="1" noChangeShapeType="1"/>
          </xdr:cNvSpPr>
        </xdr:nvSpPr>
        <xdr:spPr bwMode="auto">
          <a:xfrm rot="-5400000">
            <a:off x="1006" y="764"/>
            <a:ext cx="11" cy="3"/>
          </a:xfrm>
          <a:prstGeom prst="line">
            <a:avLst/>
          </a:prstGeom>
          <a:noFill/>
          <a:ln w="190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9" name="Line 4626">
            <a:extLst>
              <a:ext uri="{FF2B5EF4-FFF2-40B4-BE49-F238E27FC236}">
                <a16:creationId xmlns:a16="http://schemas.microsoft.com/office/drawing/2014/main" id="{396ED58E-B544-58CE-0304-19C630E7B95D}"/>
              </a:ext>
            </a:extLst>
          </xdr:cNvPr>
          <xdr:cNvSpPr>
            <a:spLocks noChangeAspect="1" noChangeShapeType="1"/>
          </xdr:cNvSpPr>
        </xdr:nvSpPr>
        <xdr:spPr bwMode="auto">
          <a:xfrm rot="16200000" flipV="1">
            <a:off x="996" y="757"/>
            <a:ext cx="22" cy="6"/>
          </a:xfrm>
          <a:prstGeom prst="line">
            <a:avLst/>
          </a:prstGeom>
          <a:noFill/>
          <a:ln w="190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0" name="Line 4627">
            <a:extLst>
              <a:ext uri="{FF2B5EF4-FFF2-40B4-BE49-F238E27FC236}">
                <a16:creationId xmlns:a16="http://schemas.microsoft.com/office/drawing/2014/main" id="{419F4855-D24E-0372-9EE2-BB7704620FD7}"/>
              </a:ext>
            </a:extLst>
          </xdr:cNvPr>
          <xdr:cNvSpPr>
            <a:spLocks noChangeAspect="1" noChangeShapeType="1"/>
          </xdr:cNvSpPr>
        </xdr:nvSpPr>
        <xdr:spPr bwMode="auto">
          <a:xfrm rot="-5400000">
            <a:off x="990" y="757"/>
            <a:ext cx="22" cy="5"/>
          </a:xfrm>
          <a:prstGeom prst="line">
            <a:avLst/>
          </a:prstGeom>
          <a:noFill/>
          <a:ln w="190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1" name="Line 4628">
            <a:extLst>
              <a:ext uri="{FF2B5EF4-FFF2-40B4-BE49-F238E27FC236}">
                <a16:creationId xmlns:a16="http://schemas.microsoft.com/office/drawing/2014/main" id="{CB167330-B22A-637F-5542-8CFBD3A67620}"/>
              </a:ext>
            </a:extLst>
          </xdr:cNvPr>
          <xdr:cNvSpPr>
            <a:spLocks noChangeAspect="1" noChangeShapeType="1"/>
          </xdr:cNvSpPr>
        </xdr:nvSpPr>
        <xdr:spPr bwMode="auto">
          <a:xfrm rot="16200000" flipV="1">
            <a:off x="985" y="757"/>
            <a:ext cx="22" cy="6"/>
          </a:xfrm>
          <a:prstGeom prst="line">
            <a:avLst/>
          </a:prstGeom>
          <a:noFill/>
          <a:ln w="190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2" name="Line 4629">
            <a:extLst>
              <a:ext uri="{FF2B5EF4-FFF2-40B4-BE49-F238E27FC236}">
                <a16:creationId xmlns:a16="http://schemas.microsoft.com/office/drawing/2014/main" id="{FB14F7D4-674E-C7FF-12F5-339C8B00AF37}"/>
              </a:ext>
            </a:extLst>
          </xdr:cNvPr>
          <xdr:cNvSpPr>
            <a:spLocks noChangeAspect="1" noChangeShapeType="1"/>
          </xdr:cNvSpPr>
        </xdr:nvSpPr>
        <xdr:spPr bwMode="auto">
          <a:xfrm rot="-5400000">
            <a:off x="979" y="757"/>
            <a:ext cx="22" cy="5"/>
          </a:xfrm>
          <a:prstGeom prst="line">
            <a:avLst/>
          </a:prstGeom>
          <a:noFill/>
          <a:ln w="190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3" name="Line 4630">
            <a:extLst>
              <a:ext uri="{FF2B5EF4-FFF2-40B4-BE49-F238E27FC236}">
                <a16:creationId xmlns:a16="http://schemas.microsoft.com/office/drawing/2014/main" id="{5D3A7E2C-8CB9-21C5-C129-009F594679E6}"/>
              </a:ext>
            </a:extLst>
          </xdr:cNvPr>
          <xdr:cNvSpPr>
            <a:spLocks noChangeAspect="1" noChangeShapeType="1"/>
          </xdr:cNvSpPr>
        </xdr:nvSpPr>
        <xdr:spPr bwMode="auto">
          <a:xfrm rot="16200000" flipV="1">
            <a:off x="973" y="757"/>
            <a:ext cx="22" cy="6"/>
          </a:xfrm>
          <a:prstGeom prst="line">
            <a:avLst/>
          </a:prstGeom>
          <a:noFill/>
          <a:ln w="190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4" name="Line 4631">
            <a:extLst>
              <a:ext uri="{FF2B5EF4-FFF2-40B4-BE49-F238E27FC236}">
                <a16:creationId xmlns:a16="http://schemas.microsoft.com/office/drawing/2014/main" id="{AAF9C77A-4749-2B29-83B1-6B060F06D80B}"/>
              </a:ext>
            </a:extLst>
          </xdr:cNvPr>
          <xdr:cNvSpPr>
            <a:spLocks noChangeAspect="1" noChangeShapeType="1"/>
          </xdr:cNvSpPr>
        </xdr:nvSpPr>
        <xdr:spPr bwMode="auto">
          <a:xfrm rot="-5400000">
            <a:off x="974" y="753"/>
            <a:ext cx="11" cy="3"/>
          </a:xfrm>
          <a:prstGeom prst="line">
            <a:avLst/>
          </a:prstGeom>
          <a:noFill/>
          <a:ln w="190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5" name="Line 4632">
            <a:extLst>
              <a:ext uri="{FF2B5EF4-FFF2-40B4-BE49-F238E27FC236}">
                <a16:creationId xmlns:a16="http://schemas.microsoft.com/office/drawing/2014/main" id="{848A6912-BBD2-0EE3-93F1-5D56A1EC4F43}"/>
              </a:ext>
            </a:extLst>
          </xdr:cNvPr>
          <xdr:cNvSpPr>
            <a:spLocks noChangeAspect="1" noChangeShapeType="1"/>
          </xdr:cNvSpPr>
        </xdr:nvSpPr>
        <xdr:spPr bwMode="auto">
          <a:xfrm rot="-5400000">
            <a:off x="1020" y="753"/>
            <a:ext cx="0" cy="14"/>
          </a:xfrm>
          <a:prstGeom prst="line">
            <a:avLst/>
          </a:prstGeom>
          <a:noFill/>
          <a:ln w="190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6" name="Line 4633">
            <a:extLst>
              <a:ext uri="{FF2B5EF4-FFF2-40B4-BE49-F238E27FC236}">
                <a16:creationId xmlns:a16="http://schemas.microsoft.com/office/drawing/2014/main" id="{848A9175-5154-BFAE-F6F2-5C5F781046A0}"/>
              </a:ext>
            </a:extLst>
          </xdr:cNvPr>
          <xdr:cNvSpPr>
            <a:spLocks noChangeAspect="1" noChangeShapeType="1"/>
          </xdr:cNvSpPr>
        </xdr:nvSpPr>
        <xdr:spPr bwMode="auto">
          <a:xfrm rot="-5400000">
            <a:off x="972" y="753"/>
            <a:ext cx="0" cy="14"/>
          </a:xfrm>
          <a:prstGeom prst="line">
            <a:avLst/>
          </a:prstGeom>
          <a:noFill/>
          <a:ln w="190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20</xdr:col>
      <xdr:colOff>171450</xdr:colOff>
      <xdr:row>10</xdr:row>
      <xdr:rowOff>85725</xdr:rowOff>
    </xdr:from>
    <xdr:to>
      <xdr:col>24</xdr:col>
      <xdr:colOff>0</xdr:colOff>
      <xdr:row>11</xdr:row>
      <xdr:rowOff>104775</xdr:rowOff>
    </xdr:to>
    <xdr:grpSp>
      <xdr:nvGrpSpPr>
        <xdr:cNvPr id="47" name="Group 4624">
          <a:extLst>
            <a:ext uri="{FF2B5EF4-FFF2-40B4-BE49-F238E27FC236}">
              <a16:creationId xmlns:a16="http://schemas.microsoft.com/office/drawing/2014/main" id="{DCF10D71-93DC-4B1E-9E86-40F4DD3E57CF}"/>
            </a:ext>
          </a:extLst>
        </xdr:cNvPr>
        <xdr:cNvGrpSpPr>
          <a:grpSpLocks/>
        </xdr:cNvGrpSpPr>
      </xdr:nvGrpSpPr>
      <xdr:grpSpPr bwMode="auto">
        <a:xfrm>
          <a:off x="3967843" y="1990725"/>
          <a:ext cx="590550" cy="209550"/>
          <a:chOff x="965" y="749"/>
          <a:chExt cx="62" cy="22"/>
        </a:xfrm>
      </xdr:grpSpPr>
      <xdr:sp macro="" textlink="">
        <xdr:nvSpPr>
          <xdr:cNvPr id="48" name="Line 4625">
            <a:extLst>
              <a:ext uri="{FF2B5EF4-FFF2-40B4-BE49-F238E27FC236}">
                <a16:creationId xmlns:a16="http://schemas.microsoft.com/office/drawing/2014/main" id="{0E722FEB-49D4-4D54-B5DF-373AD65E8827}"/>
              </a:ext>
            </a:extLst>
          </xdr:cNvPr>
          <xdr:cNvSpPr>
            <a:spLocks noChangeAspect="1" noChangeShapeType="1"/>
          </xdr:cNvSpPr>
        </xdr:nvSpPr>
        <xdr:spPr bwMode="auto">
          <a:xfrm rot="-5400000">
            <a:off x="1006" y="764"/>
            <a:ext cx="11" cy="3"/>
          </a:xfrm>
          <a:prstGeom prst="line">
            <a:avLst/>
          </a:prstGeom>
          <a:noFill/>
          <a:ln w="190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9" name="Line 4626">
            <a:extLst>
              <a:ext uri="{FF2B5EF4-FFF2-40B4-BE49-F238E27FC236}">
                <a16:creationId xmlns:a16="http://schemas.microsoft.com/office/drawing/2014/main" id="{87C1227C-6A26-85F7-FD25-FB2D7660FC26}"/>
              </a:ext>
            </a:extLst>
          </xdr:cNvPr>
          <xdr:cNvSpPr>
            <a:spLocks noChangeAspect="1" noChangeShapeType="1"/>
          </xdr:cNvSpPr>
        </xdr:nvSpPr>
        <xdr:spPr bwMode="auto">
          <a:xfrm rot="16200000" flipV="1">
            <a:off x="996" y="757"/>
            <a:ext cx="22" cy="6"/>
          </a:xfrm>
          <a:prstGeom prst="line">
            <a:avLst/>
          </a:prstGeom>
          <a:noFill/>
          <a:ln w="190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0" name="Line 4627">
            <a:extLst>
              <a:ext uri="{FF2B5EF4-FFF2-40B4-BE49-F238E27FC236}">
                <a16:creationId xmlns:a16="http://schemas.microsoft.com/office/drawing/2014/main" id="{DB757DF1-BC5F-7083-C761-A3EBBEE5CF21}"/>
              </a:ext>
            </a:extLst>
          </xdr:cNvPr>
          <xdr:cNvSpPr>
            <a:spLocks noChangeAspect="1" noChangeShapeType="1"/>
          </xdr:cNvSpPr>
        </xdr:nvSpPr>
        <xdr:spPr bwMode="auto">
          <a:xfrm rot="-5400000">
            <a:off x="990" y="757"/>
            <a:ext cx="22" cy="5"/>
          </a:xfrm>
          <a:prstGeom prst="line">
            <a:avLst/>
          </a:prstGeom>
          <a:noFill/>
          <a:ln w="190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1" name="Line 4628">
            <a:extLst>
              <a:ext uri="{FF2B5EF4-FFF2-40B4-BE49-F238E27FC236}">
                <a16:creationId xmlns:a16="http://schemas.microsoft.com/office/drawing/2014/main" id="{9F75A4FD-BF8F-C17C-CF52-D515256DE62D}"/>
              </a:ext>
            </a:extLst>
          </xdr:cNvPr>
          <xdr:cNvSpPr>
            <a:spLocks noChangeAspect="1" noChangeShapeType="1"/>
          </xdr:cNvSpPr>
        </xdr:nvSpPr>
        <xdr:spPr bwMode="auto">
          <a:xfrm rot="16200000" flipV="1">
            <a:off x="985" y="757"/>
            <a:ext cx="22" cy="6"/>
          </a:xfrm>
          <a:prstGeom prst="line">
            <a:avLst/>
          </a:prstGeom>
          <a:noFill/>
          <a:ln w="190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2" name="Line 4629">
            <a:extLst>
              <a:ext uri="{FF2B5EF4-FFF2-40B4-BE49-F238E27FC236}">
                <a16:creationId xmlns:a16="http://schemas.microsoft.com/office/drawing/2014/main" id="{1396B1F7-F664-F2F9-248B-5A2900988AB4}"/>
              </a:ext>
            </a:extLst>
          </xdr:cNvPr>
          <xdr:cNvSpPr>
            <a:spLocks noChangeAspect="1" noChangeShapeType="1"/>
          </xdr:cNvSpPr>
        </xdr:nvSpPr>
        <xdr:spPr bwMode="auto">
          <a:xfrm rot="-5400000">
            <a:off x="979" y="757"/>
            <a:ext cx="22" cy="5"/>
          </a:xfrm>
          <a:prstGeom prst="line">
            <a:avLst/>
          </a:prstGeom>
          <a:noFill/>
          <a:ln w="190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3" name="Line 4630">
            <a:extLst>
              <a:ext uri="{FF2B5EF4-FFF2-40B4-BE49-F238E27FC236}">
                <a16:creationId xmlns:a16="http://schemas.microsoft.com/office/drawing/2014/main" id="{56E1654E-EC2C-43D5-BB49-107640EF1604}"/>
              </a:ext>
            </a:extLst>
          </xdr:cNvPr>
          <xdr:cNvSpPr>
            <a:spLocks noChangeAspect="1" noChangeShapeType="1"/>
          </xdr:cNvSpPr>
        </xdr:nvSpPr>
        <xdr:spPr bwMode="auto">
          <a:xfrm rot="16200000" flipV="1">
            <a:off x="973" y="757"/>
            <a:ext cx="22" cy="6"/>
          </a:xfrm>
          <a:prstGeom prst="line">
            <a:avLst/>
          </a:prstGeom>
          <a:noFill/>
          <a:ln w="190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4" name="Line 4631">
            <a:extLst>
              <a:ext uri="{FF2B5EF4-FFF2-40B4-BE49-F238E27FC236}">
                <a16:creationId xmlns:a16="http://schemas.microsoft.com/office/drawing/2014/main" id="{38762917-BD65-8B20-7154-27F35708C3A5}"/>
              </a:ext>
            </a:extLst>
          </xdr:cNvPr>
          <xdr:cNvSpPr>
            <a:spLocks noChangeAspect="1" noChangeShapeType="1"/>
          </xdr:cNvSpPr>
        </xdr:nvSpPr>
        <xdr:spPr bwMode="auto">
          <a:xfrm rot="-5400000">
            <a:off x="974" y="753"/>
            <a:ext cx="11" cy="3"/>
          </a:xfrm>
          <a:prstGeom prst="line">
            <a:avLst/>
          </a:prstGeom>
          <a:noFill/>
          <a:ln w="190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5" name="Line 4632">
            <a:extLst>
              <a:ext uri="{FF2B5EF4-FFF2-40B4-BE49-F238E27FC236}">
                <a16:creationId xmlns:a16="http://schemas.microsoft.com/office/drawing/2014/main" id="{5CF5E260-514B-2F0C-1565-F08D4C6867D6}"/>
              </a:ext>
            </a:extLst>
          </xdr:cNvPr>
          <xdr:cNvSpPr>
            <a:spLocks noChangeAspect="1" noChangeShapeType="1"/>
          </xdr:cNvSpPr>
        </xdr:nvSpPr>
        <xdr:spPr bwMode="auto">
          <a:xfrm rot="-5400000">
            <a:off x="1020" y="753"/>
            <a:ext cx="0" cy="14"/>
          </a:xfrm>
          <a:prstGeom prst="line">
            <a:avLst/>
          </a:prstGeom>
          <a:noFill/>
          <a:ln w="190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6" name="Line 4633">
            <a:extLst>
              <a:ext uri="{FF2B5EF4-FFF2-40B4-BE49-F238E27FC236}">
                <a16:creationId xmlns:a16="http://schemas.microsoft.com/office/drawing/2014/main" id="{BF6ECD93-1D50-9DE6-22AD-1557CBAE7C1A}"/>
              </a:ext>
            </a:extLst>
          </xdr:cNvPr>
          <xdr:cNvSpPr>
            <a:spLocks noChangeAspect="1" noChangeShapeType="1"/>
          </xdr:cNvSpPr>
        </xdr:nvSpPr>
        <xdr:spPr bwMode="auto">
          <a:xfrm rot="-5400000">
            <a:off x="972" y="753"/>
            <a:ext cx="0" cy="14"/>
          </a:xfrm>
          <a:prstGeom prst="line">
            <a:avLst/>
          </a:prstGeom>
          <a:noFill/>
          <a:ln w="190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7</xdr:col>
      <xdr:colOff>19050</xdr:colOff>
      <xdr:row>6</xdr:row>
      <xdr:rowOff>95250</xdr:rowOff>
    </xdr:from>
    <xdr:to>
      <xdr:col>10</xdr:col>
      <xdr:colOff>0</xdr:colOff>
      <xdr:row>9</xdr:row>
      <xdr:rowOff>28575</xdr:rowOff>
    </xdr:to>
    <xdr:grpSp>
      <xdr:nvGrpSpPr>
        <xdr:cNvPr id="57" name="Group 3576">
          <a:extLst>
            <a:ext uri="{FF2B5EF4-FFF2-40B4-BE49-F238E27FC236}">
              <a16:creationId xmlns:a16="http://schemas.microsoft.com/office/drawing/2014/main" id="{B313E4D5-CF51-48B3-BAC2-0EFF6E83562D}"/>
            </a:ext>
          </a:extLst>
        </xdr:cNvPr>
        <xdr:cNvGrpSpPr>
          <a:grpSpLocks/>
        </xdr:cNvGrpSpPr>
      </xdr:nvGrpSpPr>
      <xdr:grpSpPr bwMode="auto">
        <a:xfrm>
          <a:off x="1352550" y="1238250"/>
          <a:ext cx="538843" cy="504825"/>
          <a:chOff x="1061" y="1939"/>
          <a:chExt cx="80" cy="39"/>
        </a:xfrm>
      </xdr:grpSpPr>
      <xdr:sp macro="" textlink="">
        <xdr:nvSpPr>
          <xdr:cNvPr id="58" name="Arc 3573">
            <a:extLst>
              <a:ext uri="{FF2B5EF4-FFF2-40B4-BE49-F238E27FC236}">
                <a16:creationId xmlns:a16="http://schemas.microsoft.com/office/drawing/2014/main" id="{22670C5D-0F10-66AD-B660-0E0E20898B5B}"/>
              </a:ext>
            </a:extLst>
          </xdr:cNvPr>
          <xdr:cNvSpPr>
            <a:spLocks noChangeAspect="1"/>
          </xdr:cNvSpPr>
        </xdr:nvSpPr>
        <xdr:spPr bwMode="auto">
          <a:xfrm flipH="1">
            <a:off x="1106" y="1939"/>
            <a:ext cx="35" cy="39"/>
          </a:xfrm>
          <a:custGeom>
            <a:avLst/>
            <a:gdLst>
              <a:gd name="T0" fmla="*/ 0 w 43200"/>
              <a:gd name="T1" fmla="*/ 0 h 38263"/>
              <a:gd name="T2" fmla="*/ 0 w 43200"/>
              <a:gd name="T3" fmla="*/ 0 h 38263"/>
              <a:gd name="T4" fmla="*/ 0 w 43200"/>
              <a:gd name="T5" fmla="*/ 0 h 38263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43200" h="38263" fill="none" extrusionOk="0">
                <a:moveTo>
                  <a:pt x="26" y="22673"/>
                </a:moveTo>
                <a:cubicBezTo>
                  <a:pt x="8" y="22315"/>
                  <a:pt x="0" y="21957"/>
                  <a:pt x="0" y="21600"/>
                </a:cubicBezTo>
                <a:cubicBezTo>
                  <a:pt x="0" y="9670"/>
                  <a:pt x="9670" y="0"/>
                  <a:pt x="21600" y="0"/>
                </a:cubicBezTo>
                <a:cubicBezTo>
                  <a:pt x="33529" y="0"/>
                  <a:pt x="43200" y="9670"/>
                  <a:pt x="43200" y="21600"/>
                </a:cubicBezTo>
                <a:cubicBezTo>
                  <a:pt x="43200" y="28048"/>
                  <a:pt x="40318" y="34159"/>
                  <a:pt x="35344" y="38263"/>
                </a:cubicBezTo>
              </a:path>
              <a:path w="43200" h="38263" stroke="0" extrusionOk="0">
                <a:moveTo>
                  <a:pt x="26" y="22673"/>
                </a:moveTo>
                <a:cubicBezTo>
                  <a:pt x="8" y="22315"/>
                  <a:pt x="0" y="21957"/>
                  <a:pt x="0" y="21600"/>
                </a:cubicBezTo>
                <a:cubicBezTo>
                  <a:pt x="0" y="9670"/>
                  <a:pt x="9670" y="0"/>
                  <a:pt x="21600" y="0"/>
                </a:cubicBezTo>
                <a:cubicBezTo>
                  <a:pt x="33529" y="0"/>
                  <a:pt x="43200" y="9670"/>
                  <a:pt x="43200" y="21600"/>
                </a:cubicBezTo>
                <a:cubicBezTo>
                  <a:pt x="43200" y="28048"/>
                  <a:pt x="40318" y="34159"/>
                  <a:pt x="35344" y="38263"/>
                </a:cubicBezTo>
                <a:lnTo>
                  <a:pt x="21600" y="21600"/>
                </a:lnTo>
                <a:lnTo>
                  <a:pt x="26" y="22673"/>
                </a:lnTo>
                <a:close/>
              </a:path>
            </a:pathLst>
          </a:custGeom>
          <a:noFill/>
          <a:ln w="190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CCCCFF" mc:Ignorable="a14" a14:legacySpreadsheetColorIndex="31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59" name="Arc 3574">
            <a:extLst>
              <a:ext uri="{FF2B5EF4-FFF2-40B4-BE49-F238E27FC236}">
                <a16:creationId xmlns:a16="http://schemas.microsoft.com/office/drawing/2014/main" id="{FE3167FC-096A-1A0C-837C-F899A7B850D1}"/>
              </a:ext>
            </a:extLst>
          </xdr:cNvPr>
          <xdr:cNvSpPr>
            <a:spLocks noChangeAspect="1"/>
          </xdr:cNvSpPr>
        </xdr:nvSpPr>
        <xdr:spPr bwMode="auto">
          <a:xfrm>
            <a:off x="1085" y="1939"/>
            <a:ext cx="34" cy="39"/>
          </a:xfrm>
          <a:custGeom>
            <a:avLst/>
            <a:gdLst>
              <a:gd name="T0" fmla="*/ 0 w 43200"/>
              <a:gd name="T1" fmla="*/ 0 h 38440"/>
              <a:gd name="T2" fmla="*/ 0 w 43200"/>
              <a:gd name="T3" fmla="*/ 0 h 38440"/>
              <a:gd name="T4" fmla="*/ 0 w 43200"/>
              <a:gd name="T5" fmla="*/ 0 h 3844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43200" h="38440" fill="none" extrusionOk="0">
                <a:moveTo>
                  <a:pt x="8070" y="38438"/>
                </a:moveTo>
                <a:cubicBezTo>
                  <a:pt x="2968" y="34338"/>
                  <a:pt x="0" y="28145"/>
                  <a:pt x="0" y="21600"/>
                </a:cubicBezTo>
                <a:cubicBezTo>
                  <a:pt x="0" y="9670"/>
                  <a:pt x="9670" y="0"/>
                  <a:pt x="21600" y="0"/>
                </a:cubicBezTo>
                <a:cubicBezTo>
                  <a:pt x="33529" y="0"/>
                  <a:pt x="43200" y="9670"/>
                  <a:pt x="43200" y="21600"/>
                </a:cubicBezTo>
                <a:cubicBezTo>
                  <a:pt x="43200" y="28146"/>
                  <a:pt x="40230" y="34340"/>
                  <a:pt x="35126" y="38439"/>
                </a:cubicBezTo>
              </a:path>
              <a:path w="43200" h="38440" stroke="0" extrusionOk="0">
                <a:moveTo>
                  <a:pt x="8070" y="38438"/>
                </a:moveTo>
                <a:cubicBezTo>
                  <a:pt x="2968" y="34338"/>
                  <a:pt x="0" y="28145"/>
                  <a:pt x="0" y="21600"/>
                </a:cubicBezTo>
                <a:cubicBezTo>
                  <a:pt x="0" y="9670"/>
                  <a:pt x="9670" y="0"/>
                  <a:pt x="21600" y="0"/>
                </a:cubicBezTo>
                <a:cubicBezTo>
                  <a:pt x="33529" y="0"/>
                  <a:pt x="43200" y="9670"/>
                  <a:pt x="43200" y="21600"/>
                </a:cubicBezTo>
                <a:cubicBezTo>
                  <a:pt x="43200" y="28146"/>
                  <a:pt x="40230" y="34340"/>
                  <a:pt x="35126" y="38439"/>
                </a:cubicBezTo>
                <a:lnTo>
                  <a:pt x="21600" y="21600"/>
                </a:lnTo>
                <a:lnTo>
                  <a:pt x="8070" y="38438"/>
                </a:lnTo>
                <a:close/>
              </a:path>
            </a:pathLst>
          </a:custGeom>
          <a:noFill/>
          <a:ln w="190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CCCCFF" mc:Ignorable="a14" a14:legacySpreadsheetColorIndex="31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60" name="Arc 3575">
            <a:extLst>
              <a:ext uri="{FF2B5EF4-FFF2-40B4-BE49-F238E27FC236}">
                <a16:creationId xmlns:a16="http://schemas.microsoft.com/office/drawing/2014/main" id="{B745415A-962E-8BF2-437A-FF008E68C0AD}"/>
              </a:ext>
            </a:extLst>
          </xdr:cNvPr>
          <xdr:cNvSpPr>
            <a:spLocks noChangeAspect="1"/>
          </xdr:cNvSpPr>
        </xdr:nvSpPr>
        <xdr:spPr bwMode="auto">
          <a:xfrm>
            <a:off x="1061" y="1939"/>
            <a:ext cx="35" cy="39"/>
          </a:xfrm>
          <a:custGeom>
            <a:avLst/>
            <a:gdLst>
              <a:gd name="T0" fmla="*/ 0 w 43200"/>
              <a:gd name="T1" fmla="*/ 0 h 38263"/>
              <a:gd name="T2" fmla="*/ 0 w 43200"/>
              <a:gd name="T3" fmla="*/ 0 h 38263"/>
              <a:gd name="T4" fmla="*/ 0 w 43200"/>
              <a:gd name="T5" fmla="*/ 0 h 38263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43200" h="38263" fill="none" extrusionOk="0">
                <a:moveTo>
                  <a:pt x="26" y="22673"/>
                </a:moveTo>
                <a:cubicBezTo>
                  <a:pt x="8" y="22315"/>
                  <a:pt x="0" y="21957"/>
                  <a:pt x="0" y="21600"/>
                </a:cubicBezTo>
                <a:cubicBezTo>
                  <a:pt x="0" y="9670"/>
                  <a:pt x="9670" y="0"/>
                  <a:pt x="21600" y="0"/>
                </a:cubicBezTo>
                <a:cubicBezTo>
                  <a:pt x="33529" y="0"/>
                  <a:pt x="43200" y="9670"/>
                  <a:pt x="43200" y="21600"/>
                </a:cubicBezTo>
                <a:cubicBezTo>
                  <a:pt x="43200" y="28048"/>
                  <a:pt x="40318" y="34159"/>
                  <a:pt x="35344" y="38263"/>
                </a:cubicBezTo>
              </a:path>
              <a:path w="43200" h="38263" stroke="0" extrusionOk="0">
                <a:moveTo>
                  <a:pt x="26" y="22673"/>
                </a:moveTo>
                <a:cubicBezTo>
                  <a:pt x="8" y="22315"/>
                  <a:pt x="0" y="21957"/>
                  <a:pt x="0" y="21600"/>
                </a:cubicBezTo>
                <a:cubicBezTo>
                  <a:pt x="0" y="9670"/>
                  <a:pt x="9670" y="0"/>
                  <a:pt x="21600" y="0"/>
                </a:cubicBezTo>
                <a:cubicBezTo>
                  <a:pt x="33529" y="0"/>
                  <a:pt x="43200" y="9670"/>
                  <a:pt x="43200" y="21600"/>
                </a:cubicBezTo>
                <a:cubicBezTo>
                  <a:pt x="43200" y="28048"/>
                  <a:pt x="40318" y="34159"/>
                  <a:pt x="35344" y="38263"/>
                </a:cubicBezTo>
                <a:lnTo>
                  <a:pt x="21600" y="21600"/>
                </a:lnTo>
                <a:lnTo>
                  <a:pt x="26" y="22673"/>
                </a:lnTo>
                <a:close/>
              </a:path>
            </a:pathLst>
          </a:custGeom>
          <a:noFill/>
          <a:ln w="190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CCCCFF" mc:Ignorable="a14" a14:legacySpreadsheetColorIndex="31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/>
  </xdr:twoCellAnchor>
  <xdr:twoCellAnchor>
    <xdr:from>
      <xdr:col>29</xdr:col>
      <xdr:colOff>133350</xdr:colOff>
      <xdr:row>26</xdr:row>
      <xdr:rowOff>152400</xdr:rowOff>
    </xdr:from>
    <xdr:to>
      <xdr:col>30</xdr:col>
      <xdr:colOff>28575</xdr:colOff>
      <xdr:row>27</xdr:row>
      <xdr:rowOff>47625</xdr:rowOff>
    </xdr:to>
    <xdr:sp macro="" textlink="">
      <xdr:nvSpPr>
        <xdr:cNvPr id="61" name="Oval 4000">
          <a:extLst>
            <a:ext uri="{FF2B5EF4-FFF2-40B4-BE49-F238E27FC236}">
              <a16:creationId xmlns:a16="http://schemas.microsoft.com/office/drawing/2014/main" id="{E279685E-B825-4D88-9EED-C6DD81B5D7A5}"/>
            </a:ext>
          </a:extLst>
        </xdr:cNvPr>
        <xdr:cNvSpPr>
          <a:spLocks noChangeArrowheads="1"/>
        </xdr:cNvSpPr>
      </xdr:nvSpPr>
      <xdr:spPr bwMode="auto">
        <a:xfrm>
          <a:off x="5648325" y="5105400"/>
          <a:ext cx="85725" cy="8572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13</xdr:col>
      <xdr:colOff>161925</xdr:colOff>
      <xdr:row>7</xdr:row>
      <xdr:rowOff>179917</xdr:rowOff>
    </xdr:from>
    <xdr:to>
      <xdr:col>15</xdr:col>
      <xdr:colOff>0</xdr:colOff>
      <xdr:row>10</xdr:row>
      <xdr:rowOff>160867</xdr:rowOff>
    </xdr:to>
    <xdr:sp macro="" textlink="">
      <xdr:nvSpPr>
        <xdr:cNvPr id="62" name="Freeform 3821">
          <a:extLst>
            <a:ext uri="{FF2B5EF4-FFF2-40B4-BE49-F238E27FC236}">
              <a16:creationId xmlns:a16="http://schemas.microsoft.com/office/drawing/2014/main" id="{8DF3DBD6-2E39-4428-98C0-704A868463C6}"/>
            </a:ext>
          </a:extLst>
        </xdr:cNvPr>
        <xdr:cNvSpPr>
          <a:spLocks/>
        </xdr:cNvSpPr>
      </xdr:nvSpPr>
      <xdr:spPr bwMode="auto">
        <a:xfrm>
          <a:off x="2628900" y="1513417"/>
          <a:ext cx="219075" cy="552450"/>
        </a:xfrm>
        <a:custGeom>
          <a:avLst/>
          <a:gdLst>
            <a:gd name="T0" fmla="*/ 0 w 160"/>
            <a:gd name="T1" fmla="*/ 0 h 84"/>
            <a:gd name="T2" fmla="*/ 2147483647 w 160"/>
            <a:gd name="T3" fmla="*/ 0 h 84"/>
            <a:gd name="T4" fmla="*/ 2147483647 w 160"/>
            <a:gd name="T5" fmla="*/ 2147483647 h 84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160" h="84">
              <a:moveTo>
                <a:pt x="0" y="0"/>
              </a:moveTo>
              <a:lnTo>
                <a:pt x="160" y="0"/>
              </a:lnTo>
              <a:lnTo>
                <a:pt x="160" y="84"/>
              </a:lnTo>
            </a:path>
          </a:pathLst>
        </a:custGeom>
        <a:noFill/>
        <a:ln w="19050" cap="flat" cmpd="sng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0</xdr:colOff>
      <xdr:row>8</xdr:row>
      <xdr:rowOff>0</xdr:rowOff>
    </xdr:from>
    <xdr:to>
      <xdr:col>7</xdr:col>
      <xdr:colOff>0</xdr:colOff>
      <xdr:row>10</xdr:row>
      <xdr:rowOff>171450</xdr:rowOff>
    </xdr:to>
    <xdr:sp macro="" textlink="">
      <xdr:nvSpPr>
        <xdr:cNvPr id="63" name="Freeform 3821">
          <a:extLst>
            <a:ext uri="{FF2B5EF4-FFF2-40B4-BE49-F238E27FC236}">
              <a16:creationId xmlns:a16="http://schemas.microsoft.com/office/drawing/2014/main" id="{BB69B6C0-9F5F-488D-9B9F-5D0825C02DD7}"/>
            </a:ext>
          </a:extLst>
        </xdr:cNvPr>
        <xdr:cNvSpPr>
          <a:spLocks/>
        </xdr:cNvSpPr>
      </xdr:nvSpPr>
      <xdr:spPr bwMode="auto">
        <a:xfrm flipH="1">
          <a:off x="952500" y="1524000"/>
          <a:ext cx="381000" cy="552450"/>
        </a:xfrm>
        <a:custGeom>
          <a:avLst/>
          <a:gdLst>
            <a:gd name="T0" fmla="*/ 0 w 160"/>
            <a:gd name="T1" fmla="*/ 0 h 84"/>
            <a:gd name="T2" fmla="*/ 2147483647 w 160"/>
            <a:gd name="T3" fmla="*/ 0 h 84"/>
            <a:gd name="T4" fmla="*/ 2147483647 w 160"/>
            <a:gd name="T5" fmla="*/ 2147483647 h 84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160" h="84">
              <a:moveTo>
                <a:pt x="0" y="0"/>
              </a:moveTo>
              <a:lnTo>
                <a:pt x="160" y="0"/>
              </a:lnTo>
              <a:lnTo>
                <a:pt x="160" y="84"/>
              </a:lnTo>
            </a:path>
          </a:pathLst>
        </a:custGeom>
        <a:noFill/>
        <a:ln w="19050" cap="flat" cmpd="sng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23</xdr:col>
      <xdr:colOff>142875</xdr:colOff>
      <xdr:row>8</xdr:row>
      <xdr:rowOff>0</xdr:rowOff>
    </xdr:from>
    <xdr:to>
      <xdr:col>25</xdr:col>
      <xdr:colOff>19050</xdr:colOff>
      <xdr:row>10</xdr:row>
      <xdr:rowOff>171450</xdr:rowOff>
    </xdr:to>
    <xdr:sp macro="" textlink="">
      <xdr:nvSpPr>
        <xdr:cNvPr id="64" name="Freeform 3821">
          <a:extLst>
            <a:ext uri="{FF2B5EF4-FFF2-40B4-BE49-F238E27FC236}">
              <a16:creationId xmlns:a16="http://schemas.microsoft.com/office/drawing/2014/main" id="{94F43CEC-A94D-4D12-9881-CD44AA960F8A}"/>
            </a:ext>
          </a:extLst>
        </xdr:cNvPr>
        <xdr:cNvSpPr>
          <a:spLocks/>
        </xdr:cNvSpPr>
      </xdr:nvSpPr>
      <xdr:spPr bwMode="auto">
        <a:xfrm>
          <a:off x="4514850" y="1524000"/>
          <a:ext cx="257175" cy="552450"/>
        </a:xfrm>
        <a:custGeom>
          <a:avLst/>
          <a:gdLst>
            <a:gd name="T0" fmla="*/ 0 w 160"/>
            <a:gd name="T1" fmla="*/ 0 h 84"/>
            <a:gd name="T2" fmla="*/ 2147483647 w 160"/>
            <a:gd name="T3" fmla="*/ 0 h 84"/>
            <a:gd name="T4" fmla="*/ 2147483647 w 160"/>
            <a:gd name="T5" fmla="*/ 2147483647 h 84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160" h="84">
              <a:moveTo>
                <a:pt x="0" y="0"/>
              </a:moveTo>
              <a:lnTo>
                <a:pt x="160" y="0"/>
              </a:lnTo>
              <a:lnTo>
                <a:pt x="160" y="84"/>
              </a:lnTo>
            </a:path>
          </a:pathLst>
        </a:custGeom>
        <a:noFill/>
        <a:ln w="19050" cap="flat" cmpd="sng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8</xdr:col>
      <xdr:colOff>123825</xdr:colOff>
      <xdr:row>11</xdr:row>
      <xdr:rowOff>0</xdr:rowOff>
    </xdr:from>
    <xdr:to>
      <xdr:col>11</xdr:col>
      <xdr:colOff>19050</xdr:colOff>
      <xdr:row>11</xdr:row>
      <xdr:rowOff>0</xdr:rowOff>
    </xdr:to>
    <xdr:sp macro="" textlink="">
      <xdr:nvSpPr>
        <xdr:cNvPr id="65" name="Line 2250">
          <a:extLst>
            <a:ext uri="{FF2B5EF4-FFF2-40B4-BE49-F238E27FC236}">
              <a16:creationId xmlns:a16="http://schemas.microsoft.com/office/drawing/2014/main" id="{85631E30-7CA4-44A0-AA6C-80CE70AF3460}"/>
            </a:ext>
          </a:extLst>
        </xdr:cNvPr>
        <xdr:cNvSpPr>
          <a:spLocks noChangeShapeType="1"/>
        </xdr:cNvSpPr>
      </xdr:nvSpPr>
      <xdr:spPr bwMode="auto">
        <a:xfrm>
          <a:off x="1647825" y="2095500"/>
          <a:ext cx="45720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142875</xdr:colOff>
      <xdr:row>11</xdr:row>
      <xdr:rowOff>0</xdr:rowOff>
    </xdr:from>
    <xdr:to>
      <xdr:col>16</xdr:col>
      <xdr:colOff>38100</xdr:colOff>
      <xdr:row>11</xdr:row>
      <xdr:rowOff>0</xdr:rowOff>
    </xdr:to>
    <xdr:sp macro="" textlink="">
      <xdr:nvSpPr>
        <xdr:cNvPr id="66" name="Line 2250">
          <a:extLst>
            <a:ext uri="{FF2B5EF4-FFF2-40B4-BE49-F238E27FC236}">
              <a16:creationId xmlns:a16="http://schemas.microsoft.com/office/drawing/2014/main" id="{0F203273-AC4A-46D8-AF94-EADF4C1578D8}"/>
            </a:ext>
          </a:extLst>
        </xdr:cNvPr>
        <xdr:cNvSpPr>
          <a:spLocks noChangeShapeType="1"/>
        </xdr:cNvSpPr>
      </xdr:nvSpPr>
      <xdr:spPr bwMode="auto">
        <a:xfrm>
          <a:off x="2609850" y="2095500"/>
          <a:ext cx="466725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104775</xdr:colOff>
      <xdr:row>11</xdr:row>
      <xdr:rowOff>0</xdr:rowOff>
    </xdr:from>
    <xdr:to>
      <xdr:col>21</xdr:col>
      <xdr:colOff>0</xdr:colOff>
      <xdr:row>11</xdr:row>
      <xdr:rowOff>0</xdr:rowOff>
    </xdr:to>
    <xdr:sp macro="" textlink="">
      <xdr:nvSpPr>
        <xdr:cNvPr id="67" name="Line 2250">
          <a:extLst>
            <a:ext uri="{FF2B5EF4-FFF2-40B4-BE49-F238E27FC236}">
              <a16:creationId xmlns:a16="http://schemas.microsoft.com/office/drawing/2014/main" id="{593BE5E4-A450-4286-B975-9BE94F72CC27}"/>
            </a:ext>
          </a:extLst>
        </xdr:cNvPr>
        <xdr:cNvSpPr>
          <a:spLocks noChangeShapeType="1"/>
        </xdr:cNvSpPr>
      </xdr:nvSpPr>
      <xdr:spPr bwMode="auto">
        <a:xfrm>
          <a:off x="3524250" y="2095500"/>
          <a:ext cx="466725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180975</xdr:colOff>
      <xdr:row>8</xdr:row>
      <xdr:rowOff>0</xdr:rowOff>
    </xdr:from>
    <xdr:to>
      <xdr:col>17</xdr:col>
      <xdr:colOff>76200</xdr:colOff>
      <xdr:row>8</xdr:row>
      <xdr:rowOff>0</xdr:rowOff>
    </xdr:to>
    <xdr:sp macro="" textlink="">
      <xdr:nvSpPr>
        <xdr:cNvPr id="68" name="Line 2250">
          <a:extLst>
            <a:ext uri="{FF2B5EF4-FFF2-40B4-BE49-F238E27FC236}">
              <a16:creationId xmlns:a16="http://schemas.microsoft.com/office/drawing/2014/main" id="{A95FF98A-2AE3-4F11-92D2-FD21CB2D2C7C}"/>
            </a:ext>
          </a:extLst>
        </xdr:cNvPr>
        <xdr:cNvSpPr>
          <a:spLocks noChangeShapeType="1"/>
        </xdr:cNvSpPr>
      </xdr:nvSpPr>
      <xdr:spPr bwMode="auto">
        <a:xfrm>
          <a:off x="2838450" y="1524000"/>
          <a:ext cx="466725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24</xdr:col>
      <xdr:colOff>180975</xdr:colOff>
      <xdr:row>10</xdr:row>
      <xdr:rowOff>142875</xdr:rowOff>
    </xdr:from>
    <xdr:to>
      <xdr:col>25</xdr:col>
      <xdr:colOff>76200</xdr:colOff>
      <xdr:row>11</xdr:row>
      <xdr:rowOff>38100</xdr:rowOff>
    </xdr:to>
    <xdr:sp macro="" textlink="">
      <xdr:nvSpPr>
        <xdr:cNvPr id="69" name="Oval 4848">
          <a:extLst>
            <a:ext uri="{FF2B5EF4-FFF2-40B4-BE49-F238E27FC236}">
              <a16:creationId xmlns:a16="http://schemas.microsoft.com/office/drawing/2014/main" id="{7E92039F-5F8F-42E9-AB28-88D58357A5EF}"/>
            </a:ext>
          </a:extLst>
        </xdr:cNvPr>
        <xdr:cNvSpPr>
          <a:spLocks noChangeArrowheads="1"/>
        </xdr:cNvSpPr>
      </xdr:nvSpPr>
      <xdr:spPr bwMode="auto">
        <a:xfrm>
          <a:off x="4743450" y="2047875"/>
          <a:ext cx="85725" cy="8572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14</xdr:col>
      <xdr:colOff>161925</xdr:colOff>
      <xdr:row>10</xdr:row>
      <xdr:rowOff>142875</xdr:rowOff>
    </xdr:from>
    <xdr:to>
      <xdr:col>15</xdr:col>
      <xdr:colOff>57150</xdr:colOff>
      <xdr:row>11</xdr:row>
      <xdr:rowOff>38100</xdr:rowOff>
    </xdr:to>
    <xdr:sp macro="" textlink="">
      <xdr:nvSpPr>
        <xdr:cNvPr id="70" name="Oval 4848">
          <a:extLst>
            <a:ext uri="{FF2B5EF4-FFF2-40B4-BE49-F238E27FC236}">
              <a16:creationId xmlns:a16="http://schemas.microsoft.com/office/drawing/2014/main" id="{AB97E758-88AE-4D3D-B38D-F4271298E3EB}"/>
            </a:ext>
          </a:extLst>
        </xdr:cNvPr>
        <xdr:cNvSpPr>
          <a:spLocks noChangeArrowheads="1"/>
        </xdr:cNvSpPr>
      </xdr:nvSpPr>
      <xdr:spPr bwMode="auto">
        <a:xfrm>
          <a:off x="2819400" y="2047875"/>
          <a:ext cx="85725" cy="8572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14</xdr:col>
      <xdr:colOff>142875</xdr:colOff>
      <xdr:row>7</xdr:row>
      <xdr:rowOff>142875</xdr:rowOff>
    </xdr:from>
    <xdr:to>
      <xdr:col>15</xdr:col>
      <xdr:colOff>38100</xdr:colOff>
      <xdr:row>8</xdr:row>
      <xdr:rowOff>38100</xdr:rowOff>
    </xdr:to>
    <xdr:sp macro="" textlink="">
      <xdr:nvSpPr>
        <xdr:cNvPr id="71" name="Oval 4848">
          <a:extLst>
            <a:ext uri="{FF2B5EF4-FFF2-40B4-BE49-F238E27FC236}">
              <a16:creationId xmlns:a16="http://schemas.microsoft.com/office/drawing/2014/main" id="{92FB1C48-5852-44BC-AC42-D4BD5E926171}"/>
            </a:ext>
          </a:extLst>
        </xdr:cNvPr>
        <xdr:cNvSpPr>
          <a:spLocks noChangeArrowheads="1"/>
        </xdr:cNvSpPr>
      </xdr:nvSpPr>
      <xdr:spPr bwMode="auto">
        <a:xfrm>
          <a:off x="2800350" y="1476375"/>
          <a:ext cx="85725" cy="8572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4</xdr:col>
      <xdr:colOff>142875</xdr:colOff>
      <xdr:row>10</xdr:row>
      <xdr:rowOff>142875</xdr:rowOff>
    </xdr:from>
    <xdr:to>
      <xdr:col>5</xdr:col>
      <xdr:colOff>38100</xdr:colOff>
      <xdr:row>11</xdr:row>
      <xdr:rowOff>38100</xdr:rowOff>
    </xdr:to>
    <xdr:sp macro="" textlink="">
      <xdr:nvSpPr>
        <xdr:cNvPr id="72" name="Oval 4848">
          <a:extLst>
            <a:ext uri="{FF2B5EF4-FFF2-40B4-BE49-F238E27FC236}">
              <a16:creationId xmlns:a16="http://schemas.microsoft.com/office/drawing/2014/main" id="{7DACFF0F-D8A6-4049-A910-29F536BA8ED2}"/>
            </a:ext>
          </a:extLst>
        </xdr:cNvPr>
        <xdr:cNvSpPr>
          <a:spLocks noChangeArrowheads="1"/>
        </xdr:cNvSpPr>
      </xdr:nvSpPr>
      <xdr:spPr bwMode="auto">
        <a:xfrm>
          <a:off x="904875" y="2047875"/>
          <a:ext cx="85725" cy="8572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9</xdr:col>
      <xdr:colOff>85725</xdr:colOff>
      <xdr:row>12</xdr:row>
      <xdr:rowOff>180975</xdr:rowOff>
    </xdr:from>
    <xdr:to>
      <xdr:col>10</xdr:col>
      <xdr:colOff>104775</xdr:colOff>
      <xdr:row>15</xdr:row>
      <xdr:rowOff>57150</xdr:rowOff>
    </xdr:to>
    <xdr:grpSp>
      <xdr:nvGrpSpPr>
        <xdr:cNvPr id="73" name="Group 3972">
          <a:extLst>
            <a:ext uri="{FF2B5EF4-FFF2-40B4-BE49-F238E27FC236}">
              <a16:creationId xmlns:a16="http://schemas.microsoft.com/office/drawing/2014/main" id="{08229452-EE73-49D8-BA86-D14DD3100055}"/>
            </a:ext>
          </a:extLst>
        </xdr:cNvPr>
        <xdr:cNvGrpSpPr>
          <a:grpSpLocks/>
        </xdr:cNvGrpSpPr>
      </xdr:nvGrpSpPr>
      <xdr:grpSpPr bwMode="auto">
        <a:xfrm>
          <a:off x="1786618" y="2466975"/>
          <a:ext cx="209550" cy="447675"/>
          <a:chOff x="1788" y="432"/>
          <a:chExt cx="22" cy="47"/>
        </a:xfrm>
      </xdr:grpSpPr>
      <xdr:sp macro="" textlink="">
        <xdr:nvSpPr>
          <xdr:cNvPr id="74" name="Line 3973">
            <a:extLst>
              <a:ext uri="{FF2B5EF4-FFF2-40B4-BE49-F238E27FC236}">
                <a16:creationId xmlns:a16="http://schemas.microsoft.com/office/drawing/2014/main" id="{6509B72D-2EB7-FA99-FEC7-234F9F292D34}"/>
              </a:ext>
            </a:extLst>
          </xdr:cNvPr>
          <xdr:cNvSpPr>
            <a:spLocks noChangeAspect="1" noChangeShapeType="1"/>
          </xdr:cNvSpPr>
        </xdr:nvSpPr>
        <xdr:spPr bwMode="auto">
          <a:xfrm rot="10800000">
            <a:off x="1799" y="445"/>
            <a:ext cx="11" cy="3"/>
          </a:xfrm>
          <a:prstGeom prst="line">
            <a:avLst/>
          </a:prstGeom>
          <a:noFill/>
          <a:ln w="190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5" name="Line 3974">
            <a:extLst>
              <a:ext uri="{FF2B5EF4-FFF2-40B4-BE49-F238E27FC236}">
                <a16:creationId xmlns:a16="http://schemas.microsoft.com/office/drawing/2014/main" id="{7CA2CD54-AC9D-8AC3-6F31-CBCBA1660DAC}"/>
              </a:ext>
            </a:extLst>
          </xdr:cNvPr>
          <xdr:cNvSpPr>
            <a:spLocks noChangeAspect="1" noChangeShapeType="1"/>
          </xdr:cNvSpPr>
        </xdr:nvSpPr>
        <xdr:spPr bwMode="auto">
          <a:xfrm rot="10800000" flipV="1">
            <a:off x="1788" y="448"/>
            <a:ext cx="22" cy="6"/>
          </a:xfrm>
          <a:prstGeom prst="line">
            <a:avLst/>
          </a:prstGeom>
          <a:noFill/>
          <a:ln w="190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6" name="Line 3975">
            <a:extLst>
              <a:ext uri="{FF2B5EF4-FFF2-40B4-BE49-F238E27FC236}">
                <a16:creationId xmlns:a16="http://schemas.microsoft.com/office/drawing/2014/main" id="{6AF50CB6-1073-F719-0F7B-ECFA3BB1037C}"/>
              </a:ext>
            </a:extLst>
          </xdr:cNvPr>
          <xdr:cNvSpPr>
            <a:spLocks noChangeAspect="1" noChangeShapeType="1"/>
          </xdr:cNvSpPr>
        </xdr:nvSpPr>
        <xdr:spPr bwMode="auto">
          <a:xfrm rot="10800000">
            <a:off x="1788" y="454"/>
            <a:ext cx="22" cy="5"/>
          </a:xfrm>
          <a:prstGeom prst="line">
            <a:avLst/>
          </a:prstGeom>
          <a:noFill/>
          <a:ln w="190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7" name="Line 3976">
            <a:extLst>
              <a:ext uri="{FF2B5EF4-FFF2-40B4-BE49-F238E27FC236}">
                <a16:creationId xmlns:a16="http://schemas.microsoft.com/office/drawing/2014/main" id="{DF7573EC-1393-30E2-B5EE-99AD0EE818DF}"/>
              </a:ext>
            </a:extLst>
          </xdr:cNvPr>
          <xdr:cNvSpPr>
            <a:spLocks noChangeAspect="1" noChangeShapeType="1"/>
          </xdr:cNvSpPr>
        </xdr:nvSpPr>
        <xdr:spPr bwMode="auto">
          <a:xfrm rot="10800000" flipV="1">
            <a:off x="1788" y="459"/>
            <a:ext cx="22" cy="6"/>
          </a:xfrm>
          <a:prstGeom prst="line">
            <a:avLst/>
          </a:prstGeom>
          <a:noFill/>
          <a:ln w="190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8" name="Line 3977">
            <a:extLst>
              <a:ext uri="{FF2B5EF4-FFF2-40B4-BE49-F238E27FC236}">
                <a16:creationId xmlns:a16="http://schemas.microsoft.com/office/drawing/2014/main" id="{ED6F4219-DA63-A396-D83C-ECCB4E37BD36}"/>
              </a:ext>
            </a:extLst>
          </xdr:cNvPr>
          <xdr:cNvSpPr>
            <a:spLocks noChangeAspect="1" noChangeShapeType="1"/>
          </xdr:cNvSpPr>
        </xdr:nvSpPr>
        <xdr:spPr bwMode="auto">
          <a:xfrm rot="10800000">
            <a:off x="1788" y="465"/>
            <a:ext cx="22" cy="5"/>
          </a:xfrm>
          <a:prstGeom prst="line">
            <a:avLst/>
          </a:prstGeom>
          <a:noFill/>
          <a:ln w="190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9" name="Line 3978">
            <a:extLst>
              <a:ext uri="{FF2B5EF4-FFF2-40B4-BE49-F238E27FC236}">
                <a16:creationId xmlns:a16="http://schemas.microsoft.com/office/drawing/2014/main" id="{92C17D1E-F141-FC42-975F-98FFC77AF7AE}"/>
              </a:ext>
            </a:extLst>
          </xdr:cNvPr>
          <xdr:cNvSpPr>
            <a:spLocks noChangeAspect="1" noChangeShapeType="1"/>
          </xdr:cNvSpPr>
        </xdr:nvSpPr>
        <xdr:spPr bwMode="auto">
          <a:xfrm rot="10800000" flipV="1">
            <a:off x="1788" y="470"/>
            <a:ext cx="22" cy="6"/>
          </a:xfrm>
          <a:prstGeom prst="line">
            <a:avLst/>
          </a:prstGeom>
          <a:noFill/>
          <a:ln w="190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0" name="Line 3979">
            <a:extLst>
              <a:ext uri="{FF2B5EF4-FFF2-40B4-BE49-F238E27FC236}">
                <a16:creationId xmlns:a16="http://schemas.microsoft.com/office/drawing/2014/main" id="{24A3AAEB-1B3B-E265-96F1-8A8F6E77452F}"/>
              </a:ext>
            </a:extLst>
          </xdr:cNvPr>
          <xdr:cNvSpPr>
            <a:spLocks noChangeAspect="1" noChangeShapeType="1"/>
          </xdr:cNvSpPr>
        </xdr:nvSpPr>
        <xdr:spPr bwMode="auto">
          <a:xfrm rot="10800000">
            <a:off x="1788" y="476"/>
            <a:ext cx="11" cy="3"/>
          </a:xfrm>
          <a:prstGeom prst="line">
            <a:avLst/>
          </a:prstGeom>
          <a:noFill/>
          <a:ln w="190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1" name="Line 3980">
            <a:extLst>
              <a:ext uri="{FF2B5EF4-FFF2-40B4-BE49-F238E27FC236}">
                <a16:creationId xmlns:a16="http://schemas.microsoft.com/office/drawing/2014/main" id="{732D3345-7047-558F-6679-CF1F2D297756}"/>
              </a:ext>
            </a:extLst>
          </xdr:cNvPr>
          <xdr:cNvSpPr>
            <a:spLocks noChangeAspect="1" noChangeShapeType="1"/>
          </xdr:cNvSpPr>
        </xdr:nvSpPr>
        <xdr:spPr bwMode="auto">
          <a:xfrm rot="10800000">
            <a:off x="1799" y="432"/>
            <a:ext cx="0" cy="14"/>
          </a:xfrm>
          <a:prstGeom prst="line">
            <a:avLst/>
          </a:prstGeom>
          <a:noFill/>
          <a:ln w="190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12</xdr:col>
      <xdr:colOff>85725</xdr:colOff>
      <xdr:row>20</xdr:row>
      <xdr:rowOff>66675</xdr:rowOff>
    </xdr:from>
    <xdr:to>
      <xdr:col>13</xdr:col>
      <xdr:colOff>104775</xdr:colOff>
      <xdr:row>22</xdr:row>
      <xdr:rowOff>133350</xdr:rowOff>
    </xdr:to>
    <xdr:grpSp>
      <xdr:nvGrpSpPr>
        <xdr:cNvPr id="82" name="Group 3972">
          <a:extLst>
            <a:ext uri="{FF2B5EF4-FFF2-40B4-BE49-F238E27FC236}">
              <a16:creationId xmlns:a16="http://schemas.microsoft.com/office/drawing/2014/main" id="{0A2C7F1E-D554-470F-9D83-C9E65C4A34C7}"/>
            </a:ext>
          </a:extLst>
        </xdr:cNvPr>
        <xdr:cNvGrpSpPr>
          <a:grpSpLocks/>
        </xdr:cNvGrpSpPr>
      </xdr:nvGrpSpPr>
      <xdr:grpSpPr bwMode="auto">
        <a:xfrm>
          <a:off x="2358118" y="3876675"/>
          <a:ext cx="209550" cy="447675"/>
          <a:chOff x="1788" y="432"/>
          <a:chExt cx="22" cy="47"/>
        </a:xfrm>
      </xdr:grpSpPr>
      <xdr:sp macro="" textlink="">
        <xdr:nvSpPr>
          <xdr:cNvPr id="83" name="Line 3973">
            <a:extLst>
              <a:ext uri="{FF2B5EF4-FFF2-40B4-BE49-F238E27FC236}">
                <a16:creationId xmlns:a16="http://schemas.microsoft.com/office/drawing/2014/main" id="{FD7D1AD6-D76E-C177-DB82-114FF213BAF5}"/>
              </a:ext>
            </a:extLst>
          </xdr:cNvPr>
          <xdr:cNvSpPr>
            <a:spLocks noChangeAspect="1" noChangeShapeType="1"/>
          </xdr:cNvSpPr>
        </xdr:nvSpPr>
        <xdr:spPr bwMode="auto">
          <a:xfrm rot="10800000">
            <a:off x="1799" y="445"/>
            <a:ext cx="11" cy="3"/>
          </a:xfrm>
          <a:prstGeom prst="line">
            <a:avLst/>
          </a:prstGeom>
          <a:noFill/>
          <a:ln w="190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4" name="Line 3974">
            <a:extLst>
              <a:ext uri="{FF2B5EF4-FFF2-40B4-BE49-F238E27FC236}">
                <a16:creationId xmlns:a16="http://schemas.microsoft.com/office/drawing/2014/main" id="{56AC5407-F40D-36E0-CECD-09F17E4B085C}"/>
              </a:ext>
            </a:extLst>
          </xdr:cNvPr>
          <xdr:cNvSpPr>
            <a:spLocks noChangeAspect="1" noChangeShapeType="1"/>
          </xdr:cNvSpPr>
        </xdr:nvSpPr>
        <xdr:spPr bwMode="auto">
          <a:xfrm rot="10800000" flipV="1">
            <a:off x="1788" y="448"/>
            <a:ext cx="22" cy="6"/>
          </a:xfrm>
          <a:prstGeom prst="line">
            <a:avLst/>
          </a:prstGeom>
          <a:noFill/>
          <a:ln w="190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5" name="Line 3975">
            <a:extLst>
              <a:ext uri="{FF2B5EF4-FFF2-40B4-BE49-F238E27FC236}">
                <a16:creationId xmlns:a16="http://schemas.microsoft.com/office/drawing/2014/main" id="{540774D9-414F-0B93-855B-FEF81EED141C}"/>
              </a:ext>
            </a:extLst>
          </xdr:cNvPr>
          <xdr:cNvSpPr>
            <a:spLocks noChangeAspect="1" noChangeShapeType="1"/>
          </xdr:cNvSpPr>
        </xdr:nvSpPr>
        <xdr:spPr bwMode="auto">
          <a:xfrm rot="10800000">
            <a:off x="1788" y="454"/>
            <a:ext cx="22" cy="5"/>
          </a:xfrm>
          <a:prstGeom prst="line">
            <a:avLst/>
          </a:prstGeom>
          <a:noFill/>
          <a:ln w="190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6" name="Line 3976">
            <a:extLst>
              <a:ext uri="{FF2B5EF4-FFF2-40B4-BE49-F238E27FC236}">
                <a16:creationId xmlns:a16="http://schemas.microsoft.com/office/drawing/2014/main" id="{D2FF1802-FB6E-0600-10BC-5EECC8622B81}"/>
              </a:ext>
            </a:extLst>
          </xdr:cNvPr>
          <xdr:cNvSpPr>
            <a:spLocks noChangeAspect="1" noChangeShapeType="1"/>
          </xdr:cNvSpPr>
        </xdr:nvSpPr>
        <xdr:spPr bwMode="auto">
          <a:xfrm rot="10800000" flipV="1">
            <a:off x="1788" y="459"/>
            <a:ext cx="22" cy="6"/>
          </a:xfrm>
          <a:prstGeom prst="line">
            <a:avLst/>
          </a:prstGeom>
          <a:noFill/>
          <a:ln w="190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7" name="Line 3977">
            <a:extLst>
              <a:ext uri="{FF2B5EF4-FFF2-40B4-BE49-F238E27FC236}">
                <a16:creationId xmlns:a16="http://schemas.microsoft.com/office/drawing/2014/main" id="{825959A6-6CC8-66F2-E27F-2602652B815B}"/>
              </a:ext>
            </a:extLst>
          </xdr:cNvPr>
          <xdr:cNvSpPr>
            <a:spLocks noChangeAspect="1" noChangeShapeType="1"/>
          </xdr:cNvSpPr>
        </xdr:nvSpPr>
        <xdr:spPr bwMode="auto">
          <a:xfrm rot="10800000">
            <a:off x="1788" y="465"/>
            <a:ext cx="22" cy="5"/>
          </a:xfrm>
          <a:prstGeom prst="line">
            <a:avLst/>
          </a:prstGeom>
          <a:noFill/>
          <a:ln w="190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8" name="Line 3978">
            <a:extLst>
              <a:ext uri="{FF2B5EF4-FFF2-40B4-BE49-F238E27FC236}">
                <a16:creationId xmlns:a16="http://schemas.microsoft.com/office/drawing/2014/main" id="{68D73BB4-9DFB-8434-D95D-71EE5D5DEEC5}"/>
              </a:ext>
            </a:extLst>
          </xdr:cNvPr>
          <xdr:cNvSpPr>
            <a:spLocks noChangeAspect="1" noChangeShapeType="1"/>
          </xdr:cNvSpPr>
        </xdr:nvSpPr>
        <xdr:spPr bwMode="auto">
          <a:xfrm rot="10800000" flipV="1">
            <a:off x="1788" y="470"/>
            <a:ext cx="22" cy="6"/>
          </a:xfrm>
          <a:prstGeom prst="line">
            <a:avLst/>
          </a:prstGeom>
          <a:noFill/>
          <a:ln w="190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" name="Line 3979">
            <a:extLst>
              <a:ext uri="{FF2B5EF4-FFF2-40B4-BE49-F238E27FC236}">
                <a16:creationId xmlns:a16="http://schemas.microsoft.com/office/drawing/2014/main" id="{7E9FA9E4-B026-8062-11DD-D35388AA1599}"/>
              </a:ext>
            </a:extLst>
          </xdr:cNvPr>
          <xdr:cNvSpPr>
            <a:spLocks noChangeAspect="1" noChangeShapeType="1"/>
          </xdr:cNvSpPr>
        </xdr:nvSpPr>
        <xdr:spPr bwMode="auto">
          <a:xfrm rot="10800000">
            <a:off x="1788" y="476"/>
            <a:ext cx="11" cy="3"/>
          </a:xfrm>
          <a:prstGeom prst="line">
            <a:avLst/>
          </a:prstGeom>
          <a:noFill/>
          <a:ln w="190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0" name="Line 3980">
            <a:extLst>
              <a:ext uri="{FF2B5EF4-FFF2-40B4-BE49-F238E27FC236}">
                <a16:creationId xmlns:a16="http://schemas.microsoft.com/office/drawing/2014/main" id="{4B786D57-4E79-E812-3052-1746F804FCFA}"/>
              </a:ext>
            </a:extLst>
          </xdr:cNvPr>
          <xdr:cNvSpPr>
            <a:spLocks noChangeAspect="1" noChangeShapeType="1"/>
          </xdr:cNvSpPr>
        </xdr:nvSpPr>
        <xdr:spPr bwMode="auto">
          <a:xfrm rot="10800000">
            <a:off x="1799" y="432"/>
            <a:ext cx="0" cy="14"/>
          </a:xfrm>
          <a:prstGeom prst="line">
            <a:avLst/>
          </a:prstGeom>
          <a:noFill/>
          <a:ln w="190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9</xdr:col>
      <xdr:colOff>38100</xdr:colOff>
      <xdr:row>21</xdr:row>
      <xdr:rowOff>114300</xdr:rowOff>
    </xdr:from>
    <xdr:to>
      <xdr:col>10</xdr:col>
      <xdr:colOff>152400</xdr:colOff>
      <xdr:row>22</xdr:row>
      <xdr:rowOff>66675</xdr:rowOff>
    </xdr:to>
    <xdr:grpSp>
      <xdr:nvGrpSpPr>
        <xdr:cNvPr id="91" name="Group 4640">
          <a:extLst>
            <a:ext uri="{FF2B5EF4-FFF2-40B4-BE49-F238E27FC236}">
              <a16:creationId xmlns:a16="http://schemas.microsoft.com/office/drawing/2014/main" id="{D7278341-8B68-4DC9-8669-65AF7758C7AE}"/>
            </a:ext>
          </a:extLst>
        </xdr:cNvPr>
        <xdr:cNvGrpSpPr>
          <a:grpSpLocks noChangeAspect="1"/>
        </xdr:cNvGrpSpPr>
      </xdr:nvGrpSpPr>
      <xdr:grpSpPr bwMode="auto">
        <a:xfrm>
          <a:off x="1738993" y="4114800"/>
          <a:ext cx="304800" cy="142875"/>
          <a:chOff x="1491" y="181"/>
          <a:chExt cx="43" cy="21"/>
        </a:xfrm>
      </xdr:grpSpPr>
      <xdr:sp macro="" textlink="">
        <xdr:nvSpPr>
          <xdr:cNvPr id="92" name="Line 4641">
            <a:extLst>
              <a:ext uri="{FF2B5EF4-FFF2-40B4-BE49-F238E27FC236}">
                <a16:creationId xmlns:a16="http://schemas.microsoft.com/office/drawing/2014/main" id="{32383DE7-6480-7C1A-9508-616C7B84E64D}"/>
              </a:ext>
            </a:extLst>
          </xdr:cNvPr>
          <xdr:cNvSpPr>
            <a:spLocks noChangeAspect="1" noChangeShapeType="1"/>
          </xdr:cNvSpPr>
        </xdr:nvSpPr>
        <xdr:spPr bwMode="auto">
          <a:xfrm>
            <a:off x="1491" y="181"/>
            <a:ext cx="43" cy="0"/>
          </a:xfrm>
          <a:prstGeom prst="line">
            <a:avLst/>
          </a:prstGeom>
          <a:noFill/>
          <a:ln w="190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3" name="Line 4642">
            <a:extLst>
              <a:ext uri="{FF2B5EF4-FFF2-40B4-BE49-F238E27FC236}">
                <a16:creationId xmlns:a16="http://schemas.microsoft.com/office/drawing/2014/main" id="{8E75139B-9DE5-EBA3-2FAD-E4EB6D7F2209}"/>
              </a:ext>
            </a:extLst>
          </xdr:cNvPr>
          <xdr:cNvSpPr>
            <a:spLocks noChangeAspect="1" noChangeShapeType="1"/>
          </xdr:cNvSpPr>
        </xdr:nvSpPr>
        <xdr:spPr bwMode="auto">
          <a:xfrm>
            <a:off x="1491" y="202"/>
            <a:ext cx="43" cy="0"/>
          </a:xfrm>
          <a:prstGeom prst="line">
            <a:avLst/>
          </a:prstGeom>
          <a:noFill/>
          <a:ln w="190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/>
  </xdr:twoCellAnchor>
  <xdr:twoCellAnchor>
    <xdr:from>
      <xdr:col>10</xdr:col>
      <xdr:colOff>19050</xdr:colOff>
      <xdr:row>19</xdr:row>
      <xdr:rowOff>0</xdr:rowOff>
    </xdr:from>
    <xdr:to>
      <xdr:col>12</xdr:col>
      <xdr:colOff>190500</xdr:colOff>
      <xdr:row>20</xdr:row>
      <xdr:rowOff>76200</xdr:rowOff>
    </xdr:to>
    <xdr:sp macro="" textlink="">
      <xdr:nvSpPr>
        <xdr:cNvPr id="94" name="Freeform 3956">
          <a:extLst>
            <a:ext uri="{FF2B5EF4-FFF2-40B4-BE49-F238E27FC236}">
              <a16:creationId xmlns:a16="http://schemas.microsoft.com/office/drawing/2014/main" id="{7CBF0424-9BD1-4C99-9CEA-A9BE11164A2F}"/>
            </a:ext>
          </a:extLst>
        </xdr:cNvPr>
        <xdr:cNvSpPr>
          <a:spLocks/>
        </xdr:cNvSpPr>
      </xdr:nvSpPr>
      <xdr:spPr bwMode="auto">
        <a:xfrm>
          <a:off x="1914525" y="3619500"/>
          <a:ext cx="552450" cy="266700"/>
        </a:xfrm>
        <a:custGeom>
          <a:avLst/>
          <a:gdLst>
            <a:gd name="T0" fmla="*/ 0 w 160"/>
            <a:gd name="T1" fmla="*/ 0 h 84"/>
            <a:gd name="T2" fmla="*/ 2147483647 w 160"/>
            <a:gd name="T3" fmla="*/ 0 h 84"/>
            <a:gd name="T4" fmla="*/ 2147483647 w 160"/>
            <a:gd name="T5" fmla="*/ 2147483647 h 84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160" h="84">
              <a:moveTo>
                <a:pt x="0" y="0"/>
              </a:moveTo>
              <a:lnTo>
                <a:pt x="160" y="0"/>
              </a:lnTo>
              <a:lnTo>
                <a:pt x="160" y="84"/>
              </a:lnTo>
            </a:path>
          </a:pathLst>
        </a:custGeom>
        <a:noFill/>
        <a:ln w="19050" cap="flat" cmpd="sng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190500</xdr:colOff>
      <xdr:row>15</xdr:row>
      <xdr:rowOff>57150</xdr:rowOff>
    </xdr:from>
    <xdr:to>
      <xdr:col>9</xdr:col>
      <xdr:colOff>190500</xdr:colOff>
      <xdr:row>21</xdr:row>
      <xdr:rowOff>123825</xdr:rowOff>
    </xdr:to>
    <xdr:sp macro="" textlink="">
      <xdr:nvSpPr>
        <xdr:cNvPr id="95" name="Line 3986">
          <a:extLst>
            <a:ext uri="{FF2B5EF4-FFF2-40B4-BE49-F238E27FC236}">
              <a16:creationId xmlns:a16="http://schemas.microsoft.com/office/drawing/2014/main" id="{4A43ADFE-E61C-45B1-AF43-725D5CC0246F}"/>
            </a:ext>
          </a:extLst>
        </xdr:cNvPr>
        <xdr:cNvSpPr>
          <a:spLocks noChangeShapeType="1"/>
        </xdr:cNvSpPr>
      </xdr:nvSpPr>
      <xdr:spPr bwMode="auto">
        <a:xfrm flipH="1" flipV="1">
          <a:off x="1895475" y="2914650"/>
          <a:ext cx="0" cy="1209675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10</xdr:col>
      <xdr:colOff>0</xdr:colOff>
      <xdr:row>11</xdr:row>
      <xdr:rowOff>0</xdr:rowOff>
    </xdr:from>
    <xdr:to>
      <xdr:col>10</xdr:col>
      <xdr:colOff>0</xdr:colOff>
      <xdr:row>13</xdr:row>
      <xdr:rowOff>114300</xdr:rowOff>
    </xdr:to>
    <xdr:sp macro="" textlink="">
      <xdr:nvSpPr>
        <xdr:cNvPr id="96" name="Line 3986">
          <a:extLst>
            <a:ext uri="{FF2B5EF4-FFF2-40B4-BE49-F238E27FC236}">
              <a16:creationId xmlns:a16="http://schemas.microsoft.com/office/drawing/2014/main" id="{A7522F96-6EF2-4747-941B-F9CDBA8BB574}"/>
            </a:ext>
          </a:extLst>
        </xdr:cNvPr>
        <xdr:cNvSpPr>
          <a:spLocks noChangeShapeType="1"/>
        </xdr:cNvSpPr>
      </xdr:nvSpPr>
      <xdr:spPr bwMode="auto">
        <a:xfrm flipV="1">
          <a:off x="1895475" y="2095500"/>
          <a:ext cx="0" cy="49530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10</xdr:col>
      <xdr:colOff>0</xdr:colOff>
      <xdr:row>22</xdr:row>
      <xdr:rowOff>71968</xdr:rowOff>
    </xdr:from>
    <xdr:to>
      <xdr:col>10</xdr:col>
      <xdr:colOff>0</xdr:colOff>
      <xdr:row>26</xdr:row>
      <xdr:rowOff>176743</xdr:rowOff>
    </xdr:to>
    <xdr:sp macro="" textlink="">
      <xdr:nvSpPr>
        <xdr:cNvPr id="97" name="Line 3986">
          <a:extLst>
            <a:ext uri="{FF2B5EF4-FFF2-40B4-BE49-F238E27FC236}">
              <a16:creationId xmlns:a16="http://schemas.microsoft.com/office/drawing/2014/main" id="{88F6E7DD-8CE9-4C0F-BC7A-F75923959EFB}"/>
            </a:ext>
          </a:extLst>
        </xdr:cNvPr>
        <xdr:cNvSpPr>
          <a:spLocks noChangeShapeType="1"/>
        </xdr:cNvSpPr>
      </xdr:nvSpPr>
      <xdr:spPr bwMode="auto">
        <a:xfrm flipV="1">
          <a:off x="1895475" y="4262968"/>
          <a:ext cx="0" cy="866775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0</xdr:colOff>
      <xdr:row>22</xdr:row>
      <xdr:rowOff>133350</xdr:rowOff>
    </xdr:from>
    <xdr:to>
      <xdr:col>13</xdr:col>
      <xdr:colOff>0</xdr:colOff>
      <xdr:row>26</xdr:row>
      <xdr:rowOff>180975</xdr:rowOff>
    </xdr:to>
    <xdr:sp macro="" textlink="">
      <xdr:nvSpPr>
        <xdr:cNvPr id="98" name="Line 3986">
          <a:extLst>
            <a:ext uri="{FF2B5EF4-FFF2-40B4-BE49-F238E27FC236}">
              <a16:creationId xmlns:a16="http://schemas.microsoft.com/office/drawing/2014/main" id="{F3400473-0953-4220-BCDB-9EEED6C8FB0F}"/>
            </a:ext>
          </a:extLst>
        </xdr:cNvPr>
        <xdr:cNvSpPr>
          <a:spLocks noChangeShapeType="1"/>
        </xdr:cNvSpPr>
      </xdr:nvSpPr>
      <xdr:spPr bwMode="auto">
        <a:xfrm flipV="1">
          <a:off x="2466975" y="4324350"/>
          <a:ext cx="0" cy="809625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19</xdr:col>
      <xdr:colOff>38100</xdr:colOff>
      <xdr:row>21</xdr:row>
      <xdr:rowOff>114300</xdr:rowOff>
    </xdr:from>
    <xdr:to>
      <xdr:col>20</xdr:col>
      <xdr:colOff>152400</xdr:colOff>
      <xdr:row>22</xdr:row>
      <xdr:rowOff>66675</xdr:rowOff>
    </xdr:to>
    <xdr:grpSp>
      <xdr:nvGrpSpPr>
        <xdr:cNvPr id="99" name="Group 4640">
          <a:extLst>
            <a:ext uri="{FF2B5EF4-FFF2-40B4-BE49-F238E27FC236}">
              <a16:creationId xmlns:a16="http://schemas.microsoft.com/office/drawing/2014/main" id="{F0BDA015-68DE-43E4-B58D-92F92F0696A4}"/>
            </a:ext>
          </a:extLst>
        </xdr:cNvPr>
        <xdr:cNvGrpSpPr>
          <a:grpSpLocks noChangeAspect="1"/>
        </xdr:cNvGrpSpPr>
      </xdr:nvGrpSpPr>
      <xdr:grpSpPr bwMode="auto">
        <a:xfrm>
          <a:off x="3643993" y="4114800"/>
          <a:ext cx="304800" cy="142875"/>
          <a:chOff x="1491" y="181"/>
          <a:chExt cx="43" cy="21"/>
        </a:xfrm>
      </xdr:grpSpPr>
      <xdr:sp macro="" textlink="">
        <xdr:nvSpPr>
          <xdr:cNvPr id="100" name="Line 4641">
            <a:extLst>
              <a:ext uri="{FF2B5EF4-FFF2-40B4-BE49-F238E27FC236}">
                <a16:creationId xmlns:a16="http://schemas.microsoft.com/office/drawing/2014/main" id="{2D6B88CA-4FBE-1E3E-BE07-0A3D20CB225F}"/>
              </a:ext>
            </a:extLst>
          </xdr:cNvPr>
          <xdr:cNvSpPr>
            <a:spLocks noChangeAspect="1" noChangeShapeType="1"/>
          </xdr:cNvSpPr>
        </xdr:nvSpPr>
        <xdr:spPr bwMode="auto">
          <a:xfrm>
            <a:off x="1491" y="181"/>
            <a:ext cx="43" cy="0"/>
          </a:xfrm>
          <a:prstGeom prst="line">
            <a:avLst/>
          </a:prstGeom>
          <a:noFill/>
          <a:ln w="190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01" name="Line 4642">
            <a:extLst>
              <a:ext uri="{FF2B5EF4-FFF2-40B4-BE49-F238E27FC236}">
                <a16:creationId xmlns:a16="http://schemas.microsoft.com/office/drawing/2014/main" id="{EC864644-6754-7397-4977-43B913C2C4E7}"/>
              </a:ext>
            </a:extLst>
          </xdr:cNvPr>
          <xdr:cNvSpPr>
            <a:spLocks noChangeAspect="1" noChangeShapeType="1"/>
          </xdr:cNvSpPr>
        </xdr:nvSpPr>
        <xdr:spPr bwMode="auto">
          <a:xfrm>
            <a:off x="1491" y="202"/>
            <a:ext cx="43" cy="0"/>
          </a:xfrm>
          <a:prstGeom prst="line">
            <a:avLst/>
          </a:prstGeom>
          <a:noFill/>
          <a:ln w="190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/>
  </xdr:twoCellAnchor>
  <xdr:twoCellAnchor>
    <xdr:from>
      <xdr:col>20</xdr:col>
      <xdr:colOff>0</xdr:colOff>
      <xdr:row>11</xdr:row>
      <xdr:rowOff>38100</xdr:rowOff>
    </xdr:from>
    <xdr:to>
      <xdr:col>20</xdr:col>
      <xdr:colOff>0</xdr:colOff>
      <xdr:row>21</xdr:row>
      <xdr:rowOff>114300</xdr:rowOff>
    </xdr:to>
    <xdr:sp macro="" textlink="">
      <xdr:nvSpPr>
        <xdr:cNvPr id="102" name="Line 3986">
          <a:extLst>
            <a:ext uri="{FF2B5EF4-FFF2-40B4-BE49-F238E27FC236}">
              <a16:creationId xmlns:a16="http://schemas.microsoft.com/office/drawing/2014/main" id="{C8B9A1F6-5238-4EC2-96DB-E8261D878D20}"/>
            </a:ext>
          </a:extLst>
        </xdr:cNvPr>
        <xdr:cNvSpPr>
          <a:spLocks noChangeShapeType="1"/>
        </xdr:cNvSpPr>
      </xdr:nvSpPr>
      <xdr:spPr bwMode="auto">
        <a:xfrm flipV="1">
          <a:off x="3800475" y="2133600"/>
          <a:ext cx="0" cy="198120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20</xdr:col>
      <xdr:colOff>0</xdr:colOff>
      <xdr:row>22</xdr:row>
      <xdr:rowOff>71968</xdr:rowOff>
    </xdr:from>
    <xdr:to>
      <xdr:col>20</xdr:col>
      <xdr:colOff>0</xdr:colOff>
      <xdr:row>26</xdr:row>
      <xdr:rowOff>176743</xdr:rowOff>
    </xdr:to>
    <xdr:sp macro="" textlink="">
      <xdr:nvSpPr>
        <xdr:cNvPr id="103" name="Line 3986">
          <a:extLst>
            <a:ext uri="{FF2B5EF4-FFF2-40B4-BE49-F238E27FC236}">
              <a16:creationId xmlns:a16="http://schemas.microsoft.com/office/drawing/2014/main" id="{9D581176-B735-4253-9951-A2679827A478}"/>
            </a:ext>
          </a:extLst>
        </xdr:cNvPr>
        <xdr:cNvSpPr>
          <a:spLocks noChangeShapeType="1"/>
        </xdr:cNvSpPr>
      </xdr:nvSpPr>
      <xdr:spPr bwMode="auto">
        <a:xfrm flipV="1">
          <a:off x="3800475" y="4262968"/>
          <a:ext cx="0" cy="866775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161925</xdr:colOff>
      <xdr:row>10</xdr:row>
      <xdr:rowOff>142875</xdr:rowOff>
    </xdr:from>
    <xdr:to>
      <xdr:col>10</xdr:col>
      <xdr:colOff>57150</xdr:colOff>
      <xdr:row>11</xdr:row>
      <xdr:rowOff>38100</xdr:rowOff>
    </xdr:to>
    <xdr:sp macro="" textlink="">
      <xdr:nvSpPr>
        <xdr:cNvPr id="104" name="Oval 4848">
          <a:extLst>
            <a:ext uri="{FF2B5EF4-FFF2-40B4-BE49-F238E27FC236}">
              <a16:creationId xmlns:a16="http://schemas.microsoft.com/office/drawing/2014/main" id="{A5749C5D-ED61-46C6-AEE0-CBCAC5FC2D56}"/>
            </a:ext>
          </a:extLst>
        </xdr:cNvPr>
        <xdr:cNvSpPr>
          <a:spLocks noChangeArrowheads="1"/>
        </xdr:cNvSpPr>
      </xdr:nvSpPr>
      <xdr:spPr bwMode="auto">
        <a:xfrm>
          <a:off x="1866900" y="2047875"/>
          <a:ext cx="85725" cy="8572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19</xdr:col>
      <xdr:colOff>161925</xdr:colOff>
      <xdr:row>10</xdr:row>
      <xdr:rowOff>161925</xdr:rowOff>
    </xdr:from>
    <xdr:to>
      <xdr:col>20</xdr:col>
      <xdr:colOff>57150</xdr:colOff>
      <xdr:row>11</xdr:row>
      <xdr:rowOff>57150</xdr:rowOff>
    </xdr:to>
    <xdr:sp macro="" textlink="">
      <xdr:nvSpPr>
        <xdr:cNvPr id="105" name="Oval 4848">
          <a:extLst>
            <a:ext uri="{FF2B5EF4-FFF2-40B4-BE49-F238E27FC236}">
              <a16:creationId xmlns:a16="http://schemas.microsoft.com/office/drawing/2014/main" id="{64950611-C9B4-49FC-B647-5EB3522CDB60}"/>
            </a:ext>
          </a:extLst>
        </xdr:cNvPr>
        <xdr:cNvSpPr>
          <a:spLocks noChangeArrowheads="1"/>
        </xdr:cNvSpPr>
      </xdr:nvSpPr>
      <xdr:spPr bwMode="auto">
        <a:xfrm>
          <a:off x="3771900" y="2066925"/>
          <a:ext cx="85725" cy="8572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9</xdr:col>
      <xdr:colOff>161925</xdr:colOff>
      <xdr:row>18</xdr:row>
      <xdr:rowOff>142875</xdr:rowOff>
    </xdr:from>
    <xdr:to>
      <xdr:col>10</xdr:col>
      <xdr:colOff>57150</xdr:colOff>
      <xdr:row>19</xdr:row>
      <xdr:rowOff>38100</xdr:rowOff>
    </xdr:to>
    <xdr:sp macro="" textlink="">
      <xdr:nvSpPr>
        <xdr:cNvPr id="106" name="Oval 4848">
          <a:extLst>
            <a:ext uri="{FF2B5EF4-FFF2-40B4-BE49-F238E27FC236}">
              <a16:creationId xmlns:a16="http://schemas.microsoft.com/office/drawing/2014/main" id="{DE320B12-B6B5-4121-BCD4-DECCAEB1C3CF}"/>
            </a:ext>
          </a:extLst>
        </xdr:cNvPr>
        <xdr:cNvSpPr>
          <a:spLocks noChangeArrowheads="1"/>
        </xdr:cNvSpPr>
      </xdr:nvSpPr>
      <xdr:spPr bwMode="auto">
        <a:xfrm>
          <a:off x="1866900" y="3571875"/>
          <a:ext cx="85725" cy="8572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26</xdr:row>
      <xdr:rowOff>142875</xdr:rowOff>
    </xdr:from>
    <xdr:to>
      <xdr:col>10</xdr:col>
      <xdr:colOff>38100</xdr:colOff>
      <xdr:row>27</xdr:row>
      <xdr:rowOff>38100</xdr:rowOff>
    </xdr:to>
    <xdr:sp macro="" textlink="">
      <xdr:nvSpPr>
        <xdr:cNvPr id="107" name="Oval 4848">
          <a:extLst>
            <a:ext uri="{FF2B5EF4-FFF2-40B4-BE49-F238E27FC236}">
              <a16:creationId xmlns:a16="http://schemas.microsoft.com/office/drawing/2014/main" id="{E86E674C-A033-4B8B-B991-A3FE5E4486DC}"/>
            </a:ext>
          </a:extLst>
        </xdr:cNvPr>
        <xdr:cNvSpPr>
          <a:spLocks noChangeArrowheads="1"/>
        </xdr:cNvSpPr>
      </xdr:nvSpPr>
      <xdr:spPr bwMode="auto">
        <a:xfrm>
          <a:off x="1847850" y="5095875"/>
          <a:ext cx="85725" cy="8572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12</xdr:col>
      <xdr:colOff>123825</xdr:colOff>
      <xdr:row>26</xdr:row>
      <xdr:rowOff>142875</xdr:rowOff>
    </xdr:from>
    <xdr:to>
      <xdr:col>13</xdr:col>
      <xdr:colOff>19050</xdr:colOff>
      <xdr:row>27</xdr:row>
      <xdr:rowOff>38100</xdr:rowOff>
    </xdr:to>
    <xdr:sp macro="" textlink="">
      <xdr:nvSpPr>
        <xdr:cNvPr id="108" name="Oval 4848">
          <a:extLst>
            <a:ext uri="{FF2B5EF4-FFF2-40B4-BE49-F238E27FC236}">
              <a16:creationId xmlns:a16="http://schemas.microsoft.com/office/drawing/2014/main" id="{2C1922DC-29C4-4273-99EA-AE4E1C10E80E}"/>
            </a:ext>
          </a:extLst>
        </xdr:cNvPr>
        <xdr:cNvSpPr>
          <a:spLocks noChangeArrowheads="1"/>
        </xdr:cNvSpPr>
      </xdr:nvSpPr>
      <xdr:spPr bwMode="auto">
        <a:xfrm>
          <a:off x="2400300" y="5095875"/>
          <a:ext cx="85725" cy="8572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19</xdr:col>
      <xdr:colOff>142875</xdr:colOff>
      <xdr:row>26</xdr:row>
      <xdr:rowOff>142875</xdr:rowOff>
    </xdr:from>
    <xdr:to>
      <xdr:col>20</xdr:col>
      <xdr:colOff>38100</xdr:colOff>
      <xdr:row>27</xdr:row>
      <xdr:rowOff>38100</xdr:rowOff>
    </xdr:to>
    <xdr:sp macro="" textlink="">
      <xdr:nvSpPr>
        <xdr:cNvPr id="109" name="Oval 4848">
          <a:extLst>
            <a:ext uri="{FF2B5EF4-FFF2-40B4-BE49-F238E27FC236}">
              <a16:creationId xmlns:a16="http://schemas.microsoft.com/office/drawing/2014/main" id="{40404049-B497-4C6A-943A-D17F6FB2EA03}"/>
            </a:ext>
          </a:extLst>
        </xdr:cNvPr>
        <xdr:cNvSpPr>
          <a:spLocks noChangeArrowheads="1"/>
        </xdr:cNvSpPr>
      </xdr:nvSpPr>
      <xdr:spPr bwMode="auto">
        <a:xfrm>
          <a:off x="3752850" y="5095875"/>
          <a:ext cx="85725" cy="8572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 editAs="oneCell">
    <xdr:from>
      <xdr:col>3</xdr:col>
      <xdr:colOff>104437</xdr:colOff>
      <xdr:row>28</xdr:row>
      <xdr:rowOff>179916</xdr:rowOff>
    </xdr:from>
    <xdr:to>
      <xdr:col>29</xdr:col>
      <xdr:colOff>28576</xdr:colOff>
      <xdr:row>47</xdr:row>
      <xdr:rowOff>116416</xdr:rowOff>
    </xdr:to>
    <xdr:pic>
      <xdr:nvPicPr>
        <xdr:cNvPr id="110" name="図 2">
          <a:extLst>
            <a:ext uri="{FF2B5EF4-FFF2-40B4-BE49-F238E27FC236}">
              <a16:creationId xmlns:a16="http://schemas.microsoft.com/office/drawing/2014/main" id="{F5149659-3B69-421F-B65D-E6CE1E618C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256" t="30930" r="50580" b="19424"/>
        <a:stretch>
          <a:fillRect/>
        </a:stretch>
      </xdr:blipFill>
      <xdr:spPr bwMode="auto">
        <a:xfrm>
          <a:off x="675937" y="5513916"/>
          <a:ext cx="4867614" cy="355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43</xdr:col>
      <xdr:colOff>0</xdr:colOff>
      <xdr:row>3</xdr:row>
      <xdr:rowOff>79375</xdr:rowOff>
    </xdr:from>
    <xdr:to>
      <xdr:col>48</xdr:col>
      <xdr:colOff>31749</xdr:colOff>
      <xdr:row>4</xdr:row>
      <xdr:rowOff>142875</xdr:rowOff>
    </xdr:to>
    <xdr:sp macro="" textlink="">
      <xdr:nvSpPr>
        <xdr:cNvPr id="111" name="正方形/長方形 110">
          <a:extLst>
            <a:ext uri="{FF2B5EF4-FFF2-40B4-BE49-F238E27FC236}">
              <a16:creationId xmlns:a16="http://schemas.microsoft.com/office/drawing/2014/main" id="{6554219A-5126-4710-8AC4-309FFC68B304}"/>
            </a:ext>
          </a:extLst>
        </xdr:cNvPr>
        <xdr:cNvSpPr/>
      </xdr:nvSpPr>
      <xdr:spPr bwMode="auto">
        <a:xfrm>
          <a:off x="8172450" y="650875"/>
          <a:ext cx="984249" cy="254000"/>
        </a:xfrm>
        <a:prstGeom prst="rect">
          <a:avLst/>
        </a:prstGeom>
        <a:noFill/>
        <a:ln w="1905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en-US" altLang="ja-JP" sz="1400"/>
            <a:t>Z1</a:t>
          </a:r>
          <a:endParaRPr kumimoji="1" lang="ja-JP" altLang="en-US" sz="1400"/>
        </a:p>
      </xdr:txBody>
    </xdr:sp>
    <xdr:clientData/>
  </xdr:twoCellAnchor>
  <xdr:twoCellAnchor>
    <xdr:from>
      <xdr:col>50</xdr:col>
      <xdr:colOff>25400</xdr:colOff>
      <xdr:row>3</xdr:row>
      <xdr:rowOff>73025</xdr:rowOff>
    </xdr:from>
    <xdr:to>
      <xdr:col>55</xdr:col>
      <xdr:colOff>57149</xdr:colOff>
      <xdr:row>4</xdr:row>
      <xdr:rowOff>136525</xdr:rowOff>
    </xdr:to>
    <xdr:sp macro="" textlink="">
      <xdr:nvSpPr>
        <xdr:cNvPr id="112" name="正方形/長方形 111">
          <a:extLst>
            <a:ext uri="{FF2B5EF4-FFF2-40B4-BE49-F238E27FC236}">
              <a16:creationId xmlns:a16="http://schemas.microsoft.com/office/drawing/2014/main" id="{291F64C2-74B5-4EE0-AB67-0438DD8CC609}"/>
            </a:ext>
          </a:extLst>
        </xdr:cNvPr>
        <xdr:cNvSpPr/>
      </xdr:nvSpPr>
      <xdr:spPr bwMode="auto">
        <a:xfrm>
          <a:off x="9531350" y="644525"/>
          <a:ext cx="984249" cy="254000"/>
        </a:xfrm>
        <a:prstGeom prst="rect">
          <a:avLst/>
        </a:prstGeom>
        <a:noFill/>
        <a:ln w="1905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en-US" altLang="ja-JP" sz="1400"/>
            <a:t>Z1</a:t>
          </a:r>
          <a:endParaRPr kumimoji="1" lang="ja-JP" altLang="en-US" sz="1400"/>
        </a:p>
      </xdr:txBody>
    </xdr:sp>
    <xdr:clientData/>
  </xdr:twoCellAnchor>
  <xdr:twoCellAnchor>
    <xdr:from>
      <xdr:col>48</xdr:col>
      <xdr:colOff>82551</xdr:colOff>
      <xdr:row>5</xdr:row>
      <xdr:rowOff>161924</xdr:rowOff>
    </xdr:from>
    <xdr:to>
      <xdr:col>49</xdr:col>
      <xdr:colOff>127001</xdr:colOff>
      <xdr:row>10</xdr:row>
      <xdr:rowOff>190499</xdr:rowOff>
    </xdr:to>
    <xdr:sp macro="" textlink="">
      <xdr:nvSpPr>
        <xdr:cNvPr id="113" name="正方形/長方形 112">
          <a:extLst>
            <a:ext uri="{FF2B5EF4-FFF2-40B4-BE49-F238E27FC236}">
              <a16:creationId xmlns:a16="http://schemas.microsoft.com/office/drawing/2014/main" id="{87CED897-F757-4A4C-80AD-2A52B65CC7D5}"/>
            </a:ext>
          </a:extLst>
        </xdr:cNvPr>
        <xdr:cNvSpPr/>
      </xdr:nvSpPr>
      <xdr:spPr bwMode="auto">
        <a:xfrm>
          <a:off x="9207501" y="1114424"/>
          <a:ext cx="234950" cy="981075"/>
        </a:xfrm>
        <a:prstGeom prst="rect">
          <a:avLst/>
        </a:prstGeom>
        <a:noFill/>
        <a:ln w="1905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en-US" altLang="ja-JP" sz="1400"/>
            <a:t>Z2</a:t>
          </a:r>
          <a:endParaRPr kumimoji="1" lang="ja-JP" altLang="en-US" sz="1400"/>
        </a:p>
      </xdr:txBody>
    </xdr:sp>
    <xdr:clientData/>
  </xdr:twoCellAnchor>
  <xdr:twoCellAnchor>
    <xdr:from>
      <xdr:col>56</xdr:col>
      <xdr:colOff>152400</xdr:colOff>
      <xdr:row>3</xdr:row>
      <xdr:rowOff>73025</xdr:rowOff>
    </xdr:from>
    <xdr:to>
      <xdr:col>61</xdr:col>
      <xdr:colOff>184149</xdr:colOff>
      <xdr:row>4</xdr:row>
      <xdr:rowOff>136525</xdr:rowOff>
    </xdr:to>
    <xdr:sp macro="" textlink="">
      <xdr:nvSpPr>
        <xdr:cNvPr id="114" name="正方形/長方形 113">
          <a:extLst>
            <a:ext uri="{FF2B5EF4-FFF2-40B4-BE49-F238E27FC236}">
              <a16:creationId xmlns:a16="http://schemas.microsoft.com/office/drawing/2014/main" id="{825D7E19-47F0-4668-B11A-E9A003E2B021}"/>
            </a:ext>
          </a:extLst>
        </xdr:cNvPr>
        <xdr:cNvSpPr/>
      </xdr:nvSpPr>
      <xdr:spPr bwMode="auto">
        <a:xfrm>
          <a:off x="10801350" y="644525"/>
          <a:ext cx="984249" cy="254000"/>
        </a:xfrm>
        <a:prstGeom prst="rect">
          <a:avLst/>
        </a:prstGeom>
        <a:noFill/>
        <a:ln w="1905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en-US" altLang="ja-JP" sz="1400"/>
            <a:t>Z3</a:t>
          </a:r>
          <a:endParaRPr kumimoji="1" lang="ja-JP" altLang="en-US" sz="1400"/>
        </a:p>
      </xdr:txBody>
    </xdr:sp>
    <xdr:clientData/>
  </xdr:twoCellAnchor>
  <xdr:twoCellAnchor>
    <xdr:from>
      <xdr:col>63</xdr:col>
      <xdr:colOff>177800</xdr:colOff>
      <xdr:row>3</xdr:row>
      <xdr:rowOff>66675</xdr:rowOff>
    </xdr:from>
    <xdr:to>
      <xdr:col>69</xdr:col>
      <xdr:colOff>19049</xdr:colOff>
      <xdr:row>4</xdr:row>
      <xdr:rowOff>130175</xdr:rowOff>
    </xdr:to>
    <xdr:sp macro="" textlink="">
      <xdr:nvSpPr>
        <xdr:cNvPr id="115" name="正方形/長方形 114">
          <a:extLst>
            <a:ext uri="{FF2B5EF4-FFF2-40B4-BE49-F238E27FC236}">
              <a16:creationId xmlns:a16="http://schemas.microsoft.com/office/drawing/2014/main" id="{9C1AA491-DF74-44CF-8011-D97E2725B918}"/>
            </a:ext>
          </a:extLst>
        </xdr:cNvPr>
        <xdr:cNvSpPr/>
      </xdr:nvSpPr>
      <xdr:spPr bwMode="auto">
        <a:xfrm>
          <a:off x="12160250" y="638175"/>
          <a:ext cx="984249" cy="254000"/>
        </a:xfrm>
        <a:prstGeom prst="rect">
          <a:avLst/>
        </a:prstGeom>
        <a:noFill/>
        <a:ln w="1905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en-US" altLang="ja-JP" sz="1400"/>
            <a:t>Z3</a:t>
          </a:r>
          <a:endParaRPr kumimoji="1" lang="ja-JP" altLang="en-US" sz="1400"/>
        </a:p>
      </xdr:txBody>
    </xdr:sp>
    <xdr:clientData/>
  </xdr:twoCellAnchor>
  <xdr:twoCellAnchor>
    <xdr:from>
      <xdr:col>62</xdr:col>
      <xdr:colOff>44451</xdr:colOff>
      <xdr:row>5</xdr:row>
      <xdr:rowOff>155574</xdr:rowOff>
    </xdr:from>
    <xdr:to>
      <xdr:col>63</xdr:col>
      <xdr:colOff>88901</xdr:colOff>
      <xdr:row>10</xdr:row>
      <xdr:rowOff>184149</xdr:rowOff>
    </xdr:to>
    <xdr:sp macro="" textlink="">
      <xdr:nvSpPr>
        <xdr:cNvPr id="116" name="正方形/長方形 115">
          <a:extLst>
            <a:ext uri="{FF2B5EF4-FFF2-40B4-BE49-F238E27FC236}">
              <a16:creationId xmlns:a16="http://schemas.microsoft.com/office/drawing/2014/main" id="{93E96620-1188-4E07-82B0-1D7C041B15AA}"/>
            </a:ext>
          </a:extLst>
        </xdr:cNvPr>
        <xdr:cNvSpPr/>
      </xdr:nvSpPr>
      <xdr:spPr bwMode="auto">
        <a:xfrm>
          <a:off x="11836401" y="1108074"/>
          <a:ext cx="234950" cy="981075"/>
        </a:xfrm>
        <a:prstGeom prst="rect">
          <a:avLst/>
        </a:prstGeom>
        <a:noFill/>
        <a:ln w="1905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en-US" altLang="ja-JP" sz="1400"/>
            <a:t>Z4</a:t>
          </a:r>
          <a:endParaRPr kumimoji="1" lang="ja-JP" altLang="en-US" sz="1400"/>
        </a:p>
      </xdr:txBody>
    </xdr:sp>
    <xdr:clientData/>
  </xdr:twoCellAnchor>
  <xdr:twoCellAnchor>
    <xdr:from>
      <xdr:col>48</xdr:col>
      <xdr:colOff>95250</xdr:colOff>
      <xdr:row>12</xdr:row>
      <xdr:rowOff>180975</xdr:rowOff>
    </xdr:from>
    <xdr:to>
      <xdr:col>49</xdr:col>
      <xdr:colOff>114300</xdr:colOff>
      <xdr:row>15</xdr:row>
      <xdr:rowOff>57150</xdr:rowOff>
    </xdr:to>
    <xdr:grpSp>
      <xdr:nvGrpSpPr>
        <xdr:cNvPr id="117" name="Group 3972">
          <a:extLst>
            <a:ext uri="{FF2B5EF4-FFF2-40B4-BE49-F238E27FC236}">
              <a16:creationId xmlns:a16="http://schemas.microsoft.com/office/drawing/2014/main" id="{0DAA72AF-AA67-4DA3-B76B-7F835AC5EF53}"/>
            </a:ext>
          </a:extLst>
        </xdr:cNvPr>
        <xdr:cNvGrpSpPr>
          <a:grpSpLocks/>
        </xdr:cNvGrpSpPr>
      </xdr:nvGrpSpPr>
      <xdr:grpSpPr bwMode="auto">
        <a:xfrm>
          <a:off x="9212036" y="2466975"/>
          <a:ext cx="209550" cy="447675"/>
          <a:chOff x="1788" y="432"/>
          <a:chExt cx="22" cy="47"/>
        </a:xfrm>
      </xdr:grpSpPr>
      <xdr:sp macro="" textlink="">
        <xdr:nvSpPr>
          <xdr:cNvPr id="118" name="Line 3973">
            <a:extLst>
              <a:ext uri="{FF2B5EF4-FFF2-40B4-BE49-F238E27FC236}">
                <a16:creationId xmlns:a16="http://schemas.microsoft.com/office/drawing/2014/main" id="{90EC8A8E-425F-6154-33A7-4207C2906A4C}"/>
              </a:ext>
            </a:extLst>
          </xdr:cNvPr>
          <xdr:cNvSpPr>
            <a:spLocks noChangeAspect="1" noChangeShapeType="1"/>
          </xdr:cNvSpPr>
        </xdr:nvSpPr>
        <xdr:spPr bwMode="auto">
          <a:xfrm rot="10800000">
            <a:off x="1799" y="445"/>
            <a:ext cx="11" cy="3"/>
          </a:xfrm>
          <a:prstGeom prst="line">
            <a:avLst/>
          </a:prstGeom>
          <a:noFill/>
          <a:ln w="190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9" name="Line 3974">
            <a:extLst>
              <a:ext uri="{FF2B5EF4-FFF2-40B4-BE49-F238E27FC236}">
                <a16:creationId xmlns:a16="http://schemas.microsoft.com/office/drawing/2014/main" id="{C9B60812-9D60-3242-E28C-06CCADBC0B84}"/>
              </a:ext>
            </a:extLst>
          </xdr:cNvPr>
          <xdr:cNvSpPr>
            <a:spLocks noChangeAspect="1" noChangeShapeType="1"/>
          </xdr:cNvSpPr>
        </xdr:nvSpPr>
        <xdr:spPr bwMode="auto">
          <a:xfrm rot="10800000" flipV="1">
            <a:off x="1788" y="448"/>
            <a:ext cx="22" cy="6"/>
          </a:xfrm>
          <a:prstGeom prst="line">
            <a:avLst/>
          </a:prstGeom>
          <a:noFill/>
          <a:ln w="190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0" name="Line 3975">
            <a:extLst>
              <a:ext uri="{FF2B5EF4-FFF2-40B4-BE49-F238E27FC236}">
                <a16:creationId xmlns:a16="http://schemas.microsoft.com/office/drawing/2014/main" id="{509750B2-2FA3-C47C-CE46-6ADDBA3649C1}"/>
              </a:ext>
            </a:extLst>
          </xdr:cNvPr>
          <xdr:cNvSpPr>
            <a:spLocks noChangeAspect="1" noChangeShapeType="1"/>
          </xdr:cNvSpPr>
        </xdr:nvSpPr>
        <xdr:spPr bwMode="auto">
          <a:xfrm rot="10800000">
            <a:off x="1788" y="454"/>
            <a:ext cx="22" cy="5"/>
          </a:xfrm>
          <a:prstGeom prst="line">
            <a:avLst/>
          </a:prstGeom>
          <a:noFill/>
          <a:ln w="190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1" name="Line 3976">
            <a:extLst>
              <a:ext uri="{FF2B5EF4-FFF2-40B4-BE49-F238E27FC236}">
                <a16:creationId xmlns:a16="http://schemas.microsoft.com/office/drawing/2014/main" id="{60A90E77-F98A-8B4A-72D1-455F074CFE86}"/>
              </a:ext>
            </a:extLst>
          </xdr:cNvPr>
          <xdr:cNvSpPr>
            <a:spLocks noChangeAspect="1" noChangeShapeType="1"/>
          </xdr:cNvSpPr>
        </xdr:nvSpPr>
        <xdr:spPr bwMode="auto">
          <a:xfrm rot="10800000" flipV="1">
            <a:off x="1788" y="459"/>
            <a:ext cx="22" cy="6"/>
          </a:xfrm>
          <a:prstGeom prst="line">
            <a:avLst/>
          </a:prstGeom>
          <a:noFill/>
          <a:ln w="190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2" name="Line 3977">
            <a:extLst>
              <a:ext uri="{FF2B5EF4-FFF2-40B4-BE49-F238E27FC236}">
                <a16:creationId xmlns:a16="http://schemas.microsoft.com/office/drawing/2014/main" id="{962FC821-BD6A-D77D-5EEF-E39D95B088BF}"/>
              </a:ext>
            </a:extLst>
          </xdr:cNvPr>
          <xdr:cNvSpPr>
            <a:spLocks noChangeAspect="1" noChangeShapeType="1"/>
          </xdr:cNvSpPr>
        </xdr:nvSpPr>
        <xdr:spPr bwMode="auto">
          <a:xfrm rot="10800000">
            <a:off x="1788" y="465"/>
            <a:ext cx="22" cy="5"/>
          </a:xfrm>
          <a:prstGeom prst="line">
            <a:avLst/>
          </a:prstGeom>
          <a:noFill/>
          <a:ln w="190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3" name="Line 3978">
            <a:extLst>
              <a:ext uri="{FF2B5EF4-FFF2-40B4-BE49-F238E27FC236}">
                <a16:creationId xmlns:a16="http://schemas.microsoft.com/office/drawing/2014/main" id="{C6433796-10F6-C687-B775-43EF8425B13A}"/>
              </a:ext>
            </a:extLst>
          </xdr:cNvPr>
          <xdr:cNvSpPr>
            <a:spLocks noChangeAspect="1" noChangeShapeType="1"/>
          </xdr:cNvSpPr>
        </xdr:nvSpPr>
        <xdr:spPr bwMode="auto">
          <a:xfrm rot="10800000" flipV="1">
            <a:off x="1788" y="470"/>
            <a:ext cx="22" cy="6"/>
          </a:xfrm>
          <a:prstGeom prst="line">
            <a:avLst/>
          </a:prstGeom>
          <a:noFill/>
          <a:ln w="190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4" name="Line 3979">
            <a:extLst>
              <a:ext uri="{FF2B5EF4-FFF2-40B4-BE49-F238E27FC236}">
                <a16:creationId xmlns:a16="http://schemas.microsoft.com/office/drawing/2014/main" id="{91FC4050-6815-7ABF-D828-C2B009FC32D6}"/>
              </a:ext>
            </a:extLst>
          </xdr:cNvPr>
          <xdr:cNvSpPr>
            <a:spLocks noChangeAspect="1" noChangeShapeType="1"/>
          </xdr:cNvSpPr>
        </xdr:nvSpPr>
        <xdr:spPr bwMode="auto">
          <a:xfrm rot="10800000">
            <a:off x="1788" y="476"/>
            <a:ext cx="11" cy="3"/>
          </a:xfrm>
          <a:prstGeom prst="line">
            <a:avLst/>
          </a:prstGeom>
          <a:noFill/>
          <a:ln w="190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5" name="Line 3980">
            <a:extLst>
              <a:ext uri="{FF2B5EF4-FFF2-40B4-BE49-F238E27FC236}">
                <a16:creationId xmlns:a16="http://schemas.microsoft.com/office/drawing/2014/main" id="{36745837-681D-25AB-DFA8-2ED9A027C8D2}"/>
              </a:ext>
            </a:extLst>
          </xdr:cNvPr>
          <xdr:cNvSpPr>
            <a:spLocks noChangeAspect="1" noChangeShapeType="1"/>
          </xdr:cNvSpPr>
        </xdr:nvSpPr>
        <xdr:spPr bwMode="auto">
          <a:xfrm rot="10800000">
            <a:off x="1799" y="432"/>
            <a:ext cx="0" cy="14"/>
          </a:xfrm>
          <a:prstGeom prst="line">
            <a:avLst/>
          </a:prstGeom>
          <a:noFill/>
          <a:ln w="190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48</xdr:col>
      <xdr:colOff>47625</xdr:colOff>
      <xdr:row>21</xdr:row>
      <xdr:rowOff>114300</xdr:rowOff>
    </xdr:from>
    <xdr:to>
      <xdr:col>49</xdr:col>
      <xdr:colOff>161925</xdr:colOff>
      <xdr:row>22</xdr:row>
      <xdr:rowOff>66675</xdr:rowOff>
    </xdr:to>
    <xdr:grpSp>
      <xdr:nvGrpSpPr>
        <xdr:cNvPr id="126" name="Group 4640">
          <a:extLst>
            <a:ext uri="{FF2B5EF4-FFF2-40B4-BE49-F238E27FC236}">
              <a16:creationId xmlns:a16="http://schemas.microsoft.com/office/drawing/2014/main" id="{0934359D-832E-4A2E-BC34-6B4CCF692AF9}"/>
            </a:ext>
          </a:extLst>
        </xdr:cNvPr>
        <xdr:cNvGrpSpPr>
          <a:grpSpLocks noChangeAspect="1"/>
        </xdr:cNvGrpSpPr>
      </xdr:nvGrpSpPr>
      <xdr:grpSpPr bwMode="auto">
        <a:xfrm>
          <a:off x="9164411" y="4114800"/>
          <a:ext cx="304800" cy="142875"/>
          <a:chOff x="1491" y="181"/>
          <a:chExt cx="43" cy="21"/>
        </a:xfrm>
      </xdr:grpSpPr>
      <xdr:sp macro="" textlink="">
        <xdr:nvSpPr>
          <xdr:cNvPr id="127" name="Line 4641">
            <a:extLst>
              <a:ext uri="{FF2B5EF4-FFF2-40B4-BE49-F238E27FC236}">
                <a16:creationId xmlns:a16="http://schemas.microsoft.com/office/drawing/2014/main" id="{F97979FD-6335-538F-D0D1-7194E78F576C}"/>
              </a:ext>
            </a:extLst>
          </xdr:cNvPr>
          <xdr:cNvSpPr>
            <a:spLocks noChangeAspect="1" noChangeShapeType="1"/>
          </xdr:cNvSpPr>
        </xdr:nvSpPr>
        <xdr:spPr bwMode="auto">
          <a:xfrm>
            <a:off x="1491" y="181"/>
            <a:ext cx="43" cy="0"/>
          </a:xfrm>
          <a:prstGeom prst="line">
            <a:avLst/>
          </a:prstGeom>
          <a:noFill/>
          <a:ln w="190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28" name="Line 4642">
            <a:extLst>
              <a:ext uri="{FF2B5EF4-FFF2-40B4-BE49-F238E27FC236}">
                <a16:creationId xmlns:a16="http://schemas.microsoft.com/office/drawing/2014/main" id="{D44EDD10-B558-6A05-6F50-66D8422E6F03}"/>
              </a:ext>
            </a:extLst>
          </xdr:cNvPr>
          <xdr:cNvSpPr>
            <a:spLocks noChangeAspect="1" noChangeShapeType="1"/>
          </xdr:cNvSpPr>
        </xdr:nvSpPr>
        <xdr:spPr bwMode="auto">
          <a:xfrm>
            <a:off x="1491" y="202"/>
            <a:ext cx="43" cy="0"/>
          </a:xfrm>
          <a:prstGeom prst="line">
            <a:avLst/>
          </a:prstGeom>
          <a:noFill/>
          <a:ln w="190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/>
  </xdr:twoCellAnchor>
  <xdr:twoCellAnchor>
    <xdr:from>
      <xdr:col>49</xdr:col>
      <xdr:colOff>9525</xdr:colOff>
      <xdr:row>15</xdr:row>
      <xdr:rowOff>57150</xdr:rowOff>
    </xdr:from>
    <xdr:to>
      <xdr:col>49</xdr:col>
      <xdr:colOff>9525</xdr:colOff>
      <xdr:row>21</xdr:row>
      <xdr:rowOff>123825</xdr:rowOff>
    </xdr:to>
    <xdr:sp macro="" textlink="">
      <xdr:nvSpPr>
        <xdr:cNvPr id="129" name="Line 3986">
          <a:extLst>
            <a:ext uri="{FF2B5EF4-FFF2-40B4-BE49-F238E27FC236}">
              <a16:creationId xmlns:a16="http://schemas.microsoft.com/office/drawing/2014/main" id="{28A25FD0-8FBB-4376-A49A-8AD1E99F5BA3}"/>
            </a:ext>
          </a:extLst>
        </xdr:cNvPr>
        <xdr:cNvSpPr>
          <a:spLocks noChangeShapeType="1"/>
        </xdr:cNvSpPr>
      </xdr:nvSpPr>
      <xdr:spPr bwMode="auto">
        <a:xfrm flipH="1" flipV="1">
          <a:off x="9324975" y="2914650"/>
          <a:ext cx="0" cy="1209675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49</xdr:col>
      <xdr:colOff>9525</xdr:colOff>
      <xdr:row>11</xdr:row>
      <xdr:rowOff>0</xdr:rowOff>
    </xdr:from>
    <xdr:to>
      <xdr:col>49</xdr:col>
      <xdr:colOff>9525</xdr:colOff>
      <xdr:row>13</xdr:row>
      <xdr:rowOff>114300</xdr:rowOff>
    </xdr:to>
    <xdr:sp macro="" textlink="">
      <xdr:nvSpPr>
        <xdr:cNvPr id="130" name="Line 3986">
          <a:extLst>
            <a:ext uri="{FF2B5EF4-FFF2-40B4-BE49-F238E27FC236}">
              <a16:creationId xmlns:a16="http://schemas.microsoft.com/office/drawing/2014/main" id="{F4E362B8-FE68-4C69-A99F-C128A28AED76}"/>
            </a:ext>
          </a:extLst>
        </xdr:cNvPr>
        <xdr:cNvSpPr>
          <a:spLocks noChangeShapeType="1"/>
        </xdr:cNvSpPr>
      </xdr:nvSpPr>
      <xdr:spPr bwMode="auto">
        <a:xfrm flipV="1">
          <a:off x="9324975" y="2095500"/>
          <a:ext cx="0" cy="49530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49</xdr:col>
      <xdr:colOff>9525</xdr:colOff>
      <xdr:row>22</xdr:row>
      <xdr:rowOff>114300</xdr:rowOff>
    </xdr:from>
    <xdr:to>
      <xdr:col>49</xdr:col>
      <xdr:colOff>9525</xdr:colOff>
      <xdr:row>27</xdr:row>
      <xdr:rowOff>28575</xdr:rowOff>
    </xdr:to>
    <xdr:sp macro="" textlink="">
      <xdr:nvSpPr>
        <xdr:cNvPr id="131" name="Line 3986">
          <a:extLst>
            <a:ext uri="{FF2B5EF4-FFF2-40B4-BE49-F238E27FC236}">
              <a16:creationId xmlns:a16="http://schemas.microsoft.com/office/drawing/2014/main" id="{1436D6AC-FA28-46A7-A09E-AE944F1A2E2E}"/>
            </a:ext>
          </a:extLst>
        </xdr:cNvPr>
        <xdr:cNvSpPr>
          <a:spLocks noChangeShapeType="1"/>
        </xdr:cNvSpPr>
      </xdr:nvSpPr>
      <xdr:spPr bwMode="auto">
        <a:xfrm flipV="1">
          <a:off x="9324975" y="4305300"/>
          <a:ext cx="0" cy="866775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48</xdr:col>
      <xdr:colOff>171450</xdr:colOff>
      <xdr:row>18</xdr:row>
      <xdr:rowOff>142875</xdr:rowOff>
    </xdr:from>
    <xdr:to>
      <xdr:col>49</xdr:col>
      <xdr:colOff>66675</xdr:colOff>
      <xdr:row>19</xdr:row>
      <xdr:rowOff>38100</xdr:rowOff>
    </xdr:to>
    <xdr:sp macro="" textlink="">
      <xdr:nvSpPr>
        <xdr:cNvPr id="132" name="Oval 4848">
          <a:extLst>
            <a:ext uri="{FF2B5EF4-FFF2-40B4-BE49-F238E27FC236}">
              <a16:creationId xmlns:a16="http://schemas.microsoft.com/office/drawing/2014/main" id="{AA459051-E790-4060-8D55-9F9639484C00}"/>
            </a:ext>
          </a:extLst>
        </xdr:cNvPr>
        <xdr:cNvSpPr>
          <a:spLocks noChangeArrowheads="1"/>
        </xdr:cNvSpPr>
      </xdr:nvSpPr>
      <xdr:spPr bwMode="auto">
        <a:xfrm>
          <a:off x="9296400" y="3571875"/>
          <a:ext cx="85725" cy="8572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48</xdr:col>
      <xdr:colOff>152400</xdr:colOff>
      <xdr:row>26</xdr:row>
      <xdr:rowOff>142875</xdr:rowOff>
    </xdr:from>
    <xdr:to>
      <xdr:col>49</xdr:col>
      <xdr:colOff>47625</xdr:colOff>
      <xdr:row>27</xdr:row>
      <xdr:rowOff>38100</xdr:rowOff>
    </xdr:to>
    <xdr:sp macro="" textlink="">
      <xdr:nvSpPr>
        <xdr:cNvPr id="133" name="Oval 4848">
          <a:extLst>
            <a:ext uri="{FF2B5EF4-FFF2-40B4-BE49-F238E27FC236}">
              <a16:creationId xmlns:a16="http://schemas.microsoft.com/office/drawing/2014/main" id="{AA77B59E-D8CA-42D7-BC67-078B5B1222B8}"/>
            </a:ext>
          </a:extLst>
        </xdr:cNvPr>
        <xdr:cNvSpPr>
          <a:spLocks noChangeArrowheads="1"/>
        </xdr:cNvSpPr>
      </xdr:nvSpPr>
      <xdr:spPr bwMode="auto">
        <a:xfrm>
          <a:off x="9277350" y="5095875"/>
          <a:ext cx="85725" cy="8572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51</xdr:col>
      <xdr:colOff>85725</xdr:colOff>
      <xdr:row>20</xdr:row>
      <xdr:rowOff>66675</xdr:rowOff>
    </xdr:from>
    <xdr:to>
      <xdr:col>52</xdr:col>
      <xdr:colOff>104775</xdr:colOff>
      <xdr:row>22</xdr:row>
      <xdr:rowOff>133350</xdr:rowOff>
    </xdr:to>
    <xdr:grpSp>
      <xdr:nvGrpSpPr>
        <xdr:cNvPr id="134" name="Group 3972">
          <a:extLst>
            <a:ext uri="{FF2B5EF4-FFF2-40B4-BE49-F238E27FC236}">
              <a16:creationId xmlns:a16="http://schemas.microsoft.com/office/drawing/2014/main" id="{983AD4AF-71E1-4485-8577-458AEF89C21C}"/>
            </a:ext>
          </a:extLst>
        </xdr:cNvPr>
        <xdr:cNvGrpSpPr>
          <a:grpSpLocks/>
        </xdr:cNvGrpSpPr>
      </xdr:nvGrpSpPr>
      <xdr:grpSpPr bwMode="auto">
        <a:xfrm>
          <a:off x="9774011" y="3876675"/>
          <a:ext cx="209550" cy="447675"/>
          <a:chOff x="1788" y="432"/>
          <a:chExt cx="22" cy="47"/>
        </a:xfrm>
      </xdr:grpSpPr>
      <xdr:sp macro="" textlink="">
        <xdr:nvSpPr>
          <xdr:cNvPr id="135" name="Line 3973">
            <a:extLst>
              <a:ext uri="{FF2B5EF4-FFF2-40B4-BE49-F238E27FC236}">
                <a16:creationId xmlns:a16="http://schemas.microsoft.com/office/drawing/2014/main" id="{0653F989-A2F7-F294-B493-175EB260B152}"/>
              </a:ext>
            </a:extLst>
          </xdr:cNvPr>
          <xdr:cNvSpPr>
            <a:spLocks noChangeAspect="1" noChangeShapeType="1"/>
          </xdr:cNvSpPr>
        </xdr:nvSpPr>
        <xdr:spPr bwMode="auto">
          <a:xfrm rot="10800000">
            <a:off x="1799" y="445"/>
            <a:ext cx="11" cy="3"/>
          </a:xfrm>
          <a:prstGeom prst="line">
            <a:avLst/>
          </a:prstGeom>
          <a:noFill/>
          <a:ln w="190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6" name="Line 3974">
            <a:extLst>
              <a:ext uri="{FF2B5EF4-FFF2-40B4-BE49-F238E27FC236}">
                <a16:creationId xmlns:a16="http://schemas.microsoft.com/office/drawing/2014/main" id="{D7220674-8C68-1834-04DC-5520EDA13C82}"/>
              </a:ext>
            </a:extLst>
          </xdr:cNvPr>
          <xdr:cNvSpPr>
            <a:spLocks noChangeAspect="1" noChangeShapeType="1"/>
          </xdr:cNvSpPr>
        </xdr:nvSpPr>
        <xdr:spPr bwMode="auto">
          <a:xfrm rot="10800000" flipV="1">
            <a:off x="1788" y="448"/>
            <a:ext cx="22" cy="6"/>
          </a:xfrm>
          <a:prstGeom prst="line">
            <a:avLst/>
          </a:prstGeom>
          <a:noFill/>
          <a:ln w="190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7" name="Line 3975">
            <a:extLst>
              <a:ext uri="{FF2B5EF4-FFF2-40B4-BE49-F238E27FC236}">
                <a16:creationId xmlns:a16="http://schemas.microsoft.com/office/drawing/2014/main" id="{2A7CAA00-8A19-92D5-8F4B-198C8977228E}"/>
              </a:ext>
            </a:extLst>
          </xdr:cNvPr>
          <xdr:cNvSpPr>
            <a:spLocks noChangeAspect="1" noChangeShapeType="1"/>
          </xdr:cNvSpPr>
        </xdr:nvSpPr>
        <xdr:spPr bwMode="auto">
          <a:xfrm rot="10800000">
            <a:off x="1788" y="454"/>
            <a:ext cx="22" cy="5"/>
          </a:xfrm>
          <a:prstGeom prst="line">
            <a:avLst/>
          </a:prstGeom>
          <a:noFill/>
          <a:ln w="190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8" name="Line 3976">
            <a:extLst>
              <a:ext uri="{FF2B5EF4-FFF2-40B4-BE49-F238E27FC236}">
                <a16:creationId xmlns:a16="http://schemas.microsoft.com/office/drawing/2014/main" id="{8AFF327E-7BDF-59BF-9B1F-18EBD067FC27}"/>
              </a:ext>
            </a:extLst>
          </xdr:cNvPr>
          <xdr:cNvSpPr>
            <a:spLocks noChangeAspect="1" noChangeShapeType="1"/>
          </xdr:cNvSpPr>
        </xdr:nvSpPr>
        <xdr:spPr bwMode="auto">
          <a:xfrm rot="10800000" flipV="1">
            <a:off x="1788" y="459"/>
            <a:ext cx="22" cy="6"/>
          </a:xfrm>
          <a:prstGeom prst="line">
            <a:avLst/>
          </a:prstGeom>
          <a:noFill/>
          <a:ln w="190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9" name="Line 3977">
            <a:extLst>
              <a:ext uri="{FF2B5EF4-FFF2-40B4-BE49-F238E27FC236}">
                <a16:creationId xmlns:a16="http://schemas.microsoft.com/office/drawing/2014/main" id="{609DCCFC-1CEE-1563-BA16-05F0EF1A4F4A}"/>
              </a:ext>
            </a:extLst>
          </xdr:cNvPr>
          <xdr:cNvSpPr>
            <a:spLocks noChangeAspect="1" noChangeShapeType="1"/>
          </xdr:cNvSpPr>
        </xdr:nvSpPr>
        <xdr:spPr bwMode="auto">
          <a:xfrm rot="10800000">
            <a:off x="1788" y="465"/>
            <a:ext cx="22" cy="5"/>
          </a:xfrm>
          <a:prstGeom prst="line">
            <a:avLst/>
          </a:prstGeom>
          <a:noFill/>
          <a:ln w="190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0" name="Line 3978">
            <a:extLst>
              <a:ext uri="{FF2B5EF4-FFF2-40B4-BE49-F238E27FC236}">
                <a16:creationId xmlns:a16="http://schemas.microsoft.com/office/drawing/2014/main" id="{DC0E7798-CE15-C8D6-DD56-9CEBEBE05662}"/>
              </a:ext>
            </a:extLst>
          </xdr:cNvPr>
          <xdr:cNvSpPr>
            <a:spLocks noChangeAspect="1" noChangeShapeType="1"/>
          </xdr:cNvSpPr>
        </xdr:nvSpPr>
        <xdr:spPr bwMode="auto">
          <a:xfrm rot="10800000" flipV="1">
            <a:off x="1788" y="470"/>
            <a:ext cx="22" cy="6"/>
          </a:xfrm>
          <a:prstGeom prst="line">
            <a:avLst/>
          </a:prstGeom>
          <a:noFill/>
          <a:ln w="190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1" name="Line 3979">
            <a:extLst>
              <a:ext uri="{FF2B5EF4-FFF2-40B4-BE49-F238E27FC236}">
                <a16:creationId xmlns:a16="http://schemas.microsoft.com/office/drawing/2014/main" id="{59BF9CEC-7329-6B07-C7EA-A94C7029147F}"/>
              </a:ext>
            </a:extLst>
          </xdr:cNvPr>
          <xdr:cNvSpPr>
            <a:spLocks noChangeAspect="1" noChangeShapeType="1"/>
          </xdr:cNvSpPr>
        </xdr:nvSpPr>
        <xdr:spPr bwMode="auto">
          <a:xfrm rot="10800000">
            <a:off x="1788" y="476"/>
            <a:ext cx="11" cy="3"/>
          </a:xfrm>
          <a:prstGeom prst="line">
            <a:avLst/>
          </a:prstGeom>
          <a:noFill/>
          <a:ln w="190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2" name="Line 3980">
            <a:extLst>
              <a:ext uri="{FF2B5EF4-FFF2-40B4-BE49-F238E27FC236}">
                <a16:creationId xmlns:a16="http://schemas.microsoft.com/office/drawing/2014/main" id="{C6CF0237-A6AE-4530-7E81-6AC87C6160D1}"/>
              </a:ext>
            </a:extLst>
          </xdr:cNvPr>
          <xdr:cNvSpPr>
            <a:spLocks noChangeAspect="1" noChangeShapeType="1"/>
          </xdr:cNvSpPr>
        </xdr:nvSpPr>
        <xdr:spPr bwMode="auto">
          <a:xfrm rot="10800000">
            <a:off x="1799" y="432"/>
            <a:ext cx="0" cy="14"/>
          </a:xfrm>
          <a:prstGeom prst="line">
            <a:avLst/>
          </a:prstGeom>
          <a:noFill/>
          <a:ln w="190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49</xdr:col>
      <xdr:colOff>9525</xdr:colOff>
      <xdr:row>19</xdr:row>
      <xdr:rowOff>0</xdr:rowOff>
    </xdr:from>
    <xdr:to>
      <xdr:col>51</xdr:col>
      <xdr:colOff>190500</xdr:colOff>
      <xdr:row>20</xdr:row>
      <xdr:rowOff>76200</xdr:rowOff>
    </xdr:to>
    <xdr:sp macro="" textlink="">
      <xdr:nvSpPr>
        <xdr:cNvPr id="143" name="Freeform 3956">
          <a:extLst>
            <a:ext uri="{FF2B5EF4-FFF2-40B4-BE49-F238E27FC236}">
              <a16:creationId xmlns:a16="http://schemas.microsoft.com/office/drawing/2014/main" id="{230B276E-D03B-46F1-9DBB-7FA7F48909FF}"/>
            </a:ext>
          </a:extLst>
        </xdr:cNvPr>
        <xdr:cNvSpPr>
          <a:spLocks/>
        </xdr:cNvSpPr>
      </xdr:nvSpPr>
      <xdr:spPr bwMode="auto">
        <a:xfrm>
          <a:off x="9324975" y="3619500"/>
          <a:ext cx="561975" cy="266700"/>
        </a:xfrm>
        <a:custGeom>
          <a:avLst/>
          <a:gdLst>
            <a:gd name="T0" fmla="*/ 0 w 160"/>
            <a:gd name="T1" fmla="*/ 0 h 84"/>
            <a:gd name="T2" fmla="*/ 2147483647 w 160"/>
            <a:gd name="T3" fmla="*/ 0 h 84"/>
            <a:gd name="T4" fmla="*/ 2147483647 w 160"/>
            <a:gd name="T5" fmla="*/ 2147483647 h 84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160" h="84">
              <a:moveTo>
                <a:pt x="0" y="0"/>
              </a:moveTo>
              <a:lnTo>
                <a:pt x="160" y="0"/>
              </a:lnTo>
              <a:lnTo>
                <a:pt x="160" y="84"/>
              </a:lnTo>
            </a:path>
          </a:pathLst>
        </a:custGeom>
        <a:noFill/>
        <a:ln w="19050" cap="flat" cmpd="sng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51</xdr:col>
      <xdr:colOff>190500</xdr:colOff>
      <xdr:row>22</xdr:row>
      <xdr:rowOff>133350</xdr:rowOff>
    </xdr:from>
    <xdr:to>
      <xdr:col>51</xdr:col>
      <xdr:colOff>190500</xdr:colOff>
      <xdr:row>26</xdr:row>
      <xdr:rowOff>180975</xdr:rowOff>
    </xdr:to>
    <xdr:sp macro="" textlink="">
      <xdr:nvSpPr>
        <xdr:cNvPr id="144" name="Line 3986">
          <a:extLst>
            <a:ext uri="{FF2B5EF4-FFF2-40B4-BE49-F238E27FC236}">
              <a16:creationId xmlns:a16="http://schemas.microsoft.com/office/drawing/2014/main" id="{814C7843-E6C4-4EAD-B90A-18BE14E1AA9E}"/>
            </a:ext>
          </a:extLst>
        </xdr:cNvPr>
        <xdr:cNvSpPr>
          <a:spLocks noChangeShapeType="1"/>
        </xdr:cNvSpPr>
      </xdr:nvSpPr>
      <xdr:spPr bwMode="auto">
        <a:xfrm flipV="1">
          <a:off x="9886950" y="4324350"/>
          <a:ext cx="0" cy="809625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48</xdr:col>
      <xdr:colOff>161925</xdr:colOff>
      <xdr:row>18</xdr:row>
      <xdr:rowOff>142875</xdr:rowOff>
    </xdr:from>
    <xdr:to>
      <xdr:col>49</xdr:col>
      <xdr:colOff>57150</xdr:colOff>
      <xdr:row>19</xdr:row>
      <xdr:rowOff>38100</xdr:rowOff>
    </xdr:to>
    <xdr:sp macro="" textlink="">
      <xdr:nvSpPr>
        <xdr:cNvPr id="145" name="Oval 4848">
          <a:extLst>
            <a:ext uri="{FF2B5EF4-FFF2-40B4-BE49-F238E27FC236}">
              <a16:creationId xmlns:a16="http://schemas.microsoft.com/office/drawing/2014/main" id="{992E40CD-3FAD-4412-A57A-C12E5A7C5168}"/>
            </a:ext>
          </a:extLst>
        </xdr:cNvPr>
        <xdr:cNvSpPr>
          <a:spLocks noChangeArrowheads="1"/>
        </xdr:cNvSpPr>
      </xdr:nvSpPr>
      <xdr:spPr bwMode="auto">
        <a:xfrm>
          <a:off x="9286875" y="3571875"/>
          <a:ext cx="85725" cy="8572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51</xdr:col>
      <xdr:colOff>123825</xdr:colOff>
      <xdr:row>26</xdr:row>
      <xdr:rowOff>142875</xdr:rowOff>
    </xdr:from>
    <xdr:to>
      <xdr:col>52</xdr:col>
      <xdr:colOff>19050</xdr:colOff>
      <xdr:row>27</xdr:row>
      <xdr:rowOff>38100</xdr:rowOff>
    </xdr:to>
    <xdr:sp macro="" textlink="">
      <xdr:nvSpPr>
        <xdr:cNvPr id="146" name="Oval 4848">
          <a:extLst>
            <a:ext uri="{FF2B5EF4-FFF2-40B4-BE49-F238E27FC236}">
              <a16:creationId xmlns:a16="http://schemas.microsoft.com/office/drawing/2014/main" id="{2B6856AF-5733-45F6-8CB7-B3F9739F4CDB}"/>
            </a:ext>
          </a:extLst>
        </xdr:cNvPr>
        <xdr:cNvSpPr>
          <a:spLocks noChangeArrowheads="1"/>
        </xdr:cNvSpPr>
      </xdr:nvSpPr>
      <xdr:spPr bwMode="auto">
        <a:xfrm>
          <a:off x="9820275" y="5095875"/>
          <a:ext cx="85725" cy="8572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62</xdr:col>
      <xdr:colOff>19050</xdr:colOff>
      <xdr:row>21</xdr:row>
      <xdr:rowOff>104775</xdr:rowOff>
    </xdr:from>
    <xdr:to>
      <xdr:col>63</xdr:col>
      <xdr:colOff>133350</xdr:colOff>
      <xdr:row>22</xdr:row>
      <xdr:rowOff>57150</xdr:rowOff>
    </xdr:to>
    <xdr:grpSp>
      <xdr:nvGrpSpPr>
        <xdr:cNvPr id="147" name="Group 4640">
          <a:extLst>
            <a:ext uri="{FF2B5EF4-FFF2-40B4-BE49-F238E27FC236}">
              <a16:creationId xmlns:a16="http://schemas.microsoft.com/office/drawing/2014/main" id="{62A0D903-9DD8-418C-B530-5FFCCAF4451C}"/>
            </a:ext>
          </a:extLst>
        </xdr:cNvPr>
        <xdr:cNvGrpSpPr>
          <a:grpSpLocks noChangeAspect="1"/>
        </xdr:cNvGrpSpPr>
      </xdr:nvGrpSpPr>
      <xdr:grpSpPr bwMode="auto">
        <a:xfrm>
          <a:off x="11802836" y="4105275"/>
          <a:ext cx="304800" cy="142875"/>
          <a:chOff x="1491" y="181"/>
          <a:chExt cx="43" cy="21"/>
        </a:xfrm>
      </xdr:grpSpPr>
      <xdr:sp macro="" textlink="">
        <xdr:nvSpPr>
          <xdr:cNvPr id="148" name="Line 4641">
            <a:extLst>
              <a:ext uri="{FF2B5EF4-FFF2-40B4-BE49-F238E27FC236}">
                <a16:creationId xmlns:a16="http://schemas.microsoft.com/office/drawing/2014/main" id="{59EAB032-092D-6056-F175-8514EA8FF199}"/>
              </a:ext>
            </a:extLst>
          </xdr:cNvPr>
          <xdr:cNvSpPr>
            <a:spLocks noChangeAspect="1" noChangeShapeType="1"/>
          </xdr:cNvSpPr>
        </xdr:nvSpPr>
        <xdr:spPr bwMode="auto">
          <a:xfrm>
            <a:off x="1491" y="181"/>
            <a:ext cx="43" cy="0"/>
          </a:xfrm>
          <a:prstGeom prst="line">
            <a:avLst/>
          </a:prstGeom>
          <a:noFill/>
          <a:ln w="190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49" name="Line 4642">
            <a:extLst>
              <a:ext uri="{FF2B5EF4-FFF2-40B4-BE49-F238E27FC236}">
                <a16:creationId xmlns:a16="http://schemas.microsoft.com/office/drawing/2014/main" id="{8A2BDFBC-4750-9E9B-B1D0-C90B727CDC59}"/>
              </a:ext>
            </a:extLst>
          </xdr:cNvPr>
          <xdr:cNvSpPr>
            <a:spLocks noChangeAspect="1" noChangeShapeType="1"/>
          </xdr:cNvSpPr>
        </xdr:nvSpPr>
        <xdr:spPr bwMode="auto">
          <a:xfrm>
            <a:off x="1491" y="202"/>
            <a:ext cx="43" cy="0"/>
          </a:xfrm>
          <a:prstGeom prst="line">
            <a:avLst/>
          </a:prstGeom>
          <a:noFill/>
          <a:ln w="190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/>
  </xdr:twoCellAnchor>
  <xdr:twoCellAnchor>
    <xdr:from>
      <xdr:col>62</xdr:col>
      <xdr:colOff>171450</xdr:colOff>
      <xdr:row>11</xdr:row>
      <xdr:rowOff>28575</xdr:rowOff>
    </xdr:from>
    <xdr:to>
      <xdr:col>62</xdr:col>
      <xdr:colOff>171450</xdr:colOff>
      <xdr:row>21</xdr:row>
      <xdr:rowOff>104775</xdr:rowOff>
    </xdr:to>
    <xdr:sp macro="" textlink="">
      <xdr:nvSpPr>
        <xdr:cNvPr id="150" name="Line 3986">
          <a:extLst>
            <a:ext uri="{FF2B5EF4-FFF2-40B4-BE49-F238E27FC236}">
              <a16:creationId xmlns:a16="http://schemas.microsoft.com/office/drawing/2014/main" id="{A763424E-3F7B-4E63-B2C6-A03EB401196A}"/>
            </a:ext>
          </a:extLst>
        </xdr:cNvPr>
        <xdr:cNvSpPr>
          <a:spLocks noChangeShapeType="1"/>
        </xdr:cNvSpPr>
      </xdr:nvSpPr>
      <xdr:spPr bwMode="auto">
        <a:xfrm flipV="1">
          <a:off x="11963400" y="2124075"/>
          <a:ext cx="0" cy="198120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62</xdr:col>
      <xdr:colOff>171450</xdr:colOff>
      <xdr:row>22</xdr:row>
      <xdr:rowOff>104775</xdr:rowOff>
    </xdr:from>
    <xdr:to>
      <xdr:col>62</xdr:col>
      <xdr:colOff>171450</xdr:colOff>
      <xdr:row>27</xdr:row>
      <xdr:rowOff>19050</xdr:rowOff>
    </xdr:to>
    <xdr:sp macro="" textlink="">
      <xdr:nvSpPr>
        <xdr:cNvPr id="151" name="Line 3986">
          <a:extLst>
            <a:ext uri="{FF2B5EF4-FFF2-40B4-BE49-F238E27FC236}">
              <a16:creationId xmlns:a16="http://schemas.microsoft.com/office/drawing/2014/main" id="{353B941B-2B29-43B4-9189-AA703DA4416D}"/>
            </a:ext>
          </a:extLst>
        </xdr:cNvPr>
        <xdr:cNvSpPr>
          <a:spLocks noChangeShapeType="1"/>
        </xdr:cNvSpPr>
      </xdr:nvSpPr>
      <xdr:spPr bwMode="auto">
        <a:xfrm flipV="1">
          <a:off x="11963400" y="4295775"/>
          <a:ext cx="0" cy="866775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70</xdr:col>
      <xdr:colOff>123825</xdr:colOff>
      <xdr:row>20</xdr:row>
      <xdr:rowOff>123825</xdr:rowOff>
    </xdr:from>
    <xdr:to>
      <xdr:col>71</xdr:col>
      <xdr:colOff>142875</xdr:colOff>
      <xdr:row>23</xdr:row>
      <xdr:rowOff>0</xdr:rowOff>
    </xdr:to>
    <xdr:grpSp>
      <xdr:nvGrpSpPr>
        <xdr:cNvPr id="152" name="Group 4836">
          <a:extLst>
            <a:ext uri="{FF2B5EF4-FFF2-40B4-BE49-F238E27FC236}">
              <a16:creationId xmlns:a16="http://schemas.microsoft.com/office/drawing/2014/main" id="{D75CBAC9-237E-4A27-A5CB-46356DCF8E9C}"/>
            </a:ext>
          </a:extLst>
        </xdr:cNvPr>
        <xdr:cNvGrpSpPr>
          <a:grpSpLocks/>
        </xdr:cNvGrpSpPr>
      </xdr:nvGrpSpPr>
      <xdr:grpSpPr bwMode="auto">
        <a:xfrm>
          <a:off x="13431611" y="3933825"/>
          <a:ext cx="209550" cy="447675"/>
          <a:chOff x="1788" y="432"/>
          <a:chExt cx="22" cy="47"/>
        </a:xfrm>
      </xdr:grpSpPr>
      <xdr:sp macro="" textlink="">
        <xdr:nvSpPr>
          <xdr:cNvPr id="153" name="Line 4837">
            <a:extLst>
              <a:ext uri="{FF2B5EF4-FFF2-40B4-BE49-F238E27FC236}">
                <a16:creationId xmlns:a16="http://schemas.microsoft.com/office/drawing/2014/main" id="{42E0C744-8615-5C24-A50E-781181350440}"/>
              </a:ext>
            </a:extLst>
          </xdr:cNvPr>
          <xdr:cNvSpPr>
            <a:spLocks noChangeAspect="1" noChangeShapeType="1"/>
          </xdr:cNvSpPr>
        </xdr:nvSpPr>
        <xdr:spPr bwMode="auto">
          <a:xfrm rot="10800000">
            <a:off x="1799" y="445"/>
            <a:ext cx="11" cy="3"/>
          </a:xfrm>
          <a:prstGeom prst="line">
            <a:avLst/>
          </a:prstGeom>
          <a:noFill/>
          <a:ln w="190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4" name="Line 4838">
            <a:extLst>
              <a:ext uri="{FF2B5EF4-FFF2-40B4-BE49-F238E27FC236}">
                <a16:creationId xmlns:a16="http://schemas.microsoft.com/office/drawing/2014/main" id="{9FAF61E5-84B8-52FB-CFD6-710F1488B00C}"/>
              </a:ext>
            </a:extLst>
          </xdr:cNvPr>
          <xdr:cNvSpPr>
            <a:spLocks noChangeAspect="1" noChangeShapeType="1"/>
          </xdr:cNvSpPr>
        </xdr:nvSpPr>
        <xdr:spPr bwMode="auto">
          <a:xfrm rot="10800000" flipV="1">
            <a:off x="1788" y="448"/>
            <a:ext cx="22" cy="6"/>
          </a:xfrm>
          <a:prstGeom prst="line">
            <a:avLst/>
          </a:prstGeom>
          <a:noFill/>
          <a:ln w="190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5" name="Line 4839">
            <a:extLst>
              <a:ext uri="{FF2B5EF4-FFF2-40B4-BE49-F238E27FC236}">
                <a16:creationId xmlns:a16="http://schemas.microsoft.com/office/drawing/2014/main" id="{A2D2B635-7E91-D199-4C44-88D91EEE33E3}"/>
              </a:ext>
            </a:extLst>
          </xdr:cNvPr>
          <xdr:cNvSpPr>
            <a:spLocks noChangeAspect="1" noChangeShapeType="1"/>
          </xdr:cNvSpPr>
        </xdr:nvSpPr>
        <xdr:spPr bwMode="auto">
          <a:xfrm rot="10800000">
            <a:off x="1788" y="454"/>
            <a:ext cx="22" cy="5"/>
          </a:xfrm>
          <a:prstGeom prst="line">
            <a:avLst/>
          </a:prstGeom>
          <a:noFill/>
          <a:ln w="190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6" name="Line 4840">
            <a:extLst>
              <a:ext uri="{FF2B5EF4-FFF2-40B4-BE49-F238E27FC236}">
                <a16:creationId xmlns:a16="http://schemas.microsoft.com/office/drawing/2014/main" id="{60548CDB-A673-8765-CBA7-2874941B98C4}"/>
              </a:ext>
            </a:extLst>
          </xdr:cNvPr>
          <xdr:cNvSpPr>
            <a:spLocks noChangeAspect="1" noChangeShapeType="1"/>
          </xdr:cNvSpPr>
        </xdr:nvSpPr>
        <xdr:spPr bwMode="auto">
          <a:xfrm rot="10800000" flipV="1">
            <a:off x="1788" y="459"/>
            <a:ext cx="22" cy="6"/>
          </a:xfrm>
          <a:prstGeom prst="line">
            <a:avLst/>
          </a:prstGeom>
          <a:noFill/>
          <a:ln w="190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7" name="Line 4841">
            <a:extLst>
              <a:ext uri="{FF2B5EF4-FFF2-40B4-BE49-F238E27FC236}">
                <a16:creationId xmlns:a16="http://schemas.microsoft.com/office/drawing/2014/main" id="{7E1E7B1F-02DF-22B3-A947-9B4E66F1AC6A}"/>
              </a:ext>
            </a:extLst>
          </xdr:cNvPr>
          <xdr:cNvSpPr>
            <a:spLocks noChangeAspect="1" noChangeShapeType="1"/>
          </xdr:cNvSpPr>
        </xdr:nvSpPr>
        <xdr:spPr bwMode="auto">
          <a:xfrm rot="10800000">
            <a:off x="1788" y="465"/>
            <a:ext cx="22" cy="5"/>
          </a:xfrm>
          <a:prstGeom prst="line">
            <a:avLst/>
          </a:prstGeom>
          <a:noFill/>
          <a:ln w="190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8" name="Line 4842">
            <a:extLst>
              <a:ext uri="{FF2B5EF4-FFF2-40B4-BE49-F238E27FC236}">
                <a16:creationId xmlns:a16="http://schemas.microsoft.com/office/drawing/2014/main" id="{898C6905-2585-C7EE-ACBD-48D69EB5F9E7}"/>
              </a:ext>
            </a:extLst>
          </xdr:cNvPr>
          <xdr:cNvSpPr>
            <a:spLocks noChangeAspect="1" noChangeShapeType="1"/>
          </xdr:cNvSpPr>
        </xdr:nvSpPr>
        <xdr:spPr bwMode="auto">
          <a:xfrm rot="10800000" flipV="1">
            <a:off x="1788" y="470"/>
            <a:ext cx="22" cy="6"/>
          </a:xfrm>
          <a:prstGeom prst="line">
            <a:avLst/>
          </a:prstGeom>
          <a:noFill/>
          <a:ln w="190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9" name="Line 4843">
            <a:extLst>
              <a:ext uri="{FF2B5EF4-FFF2-40B4-BE49-F238E27FC236}">
                <a16:creationId xmlns:a16="http://schemas.microsoft.com/office/drawing/2014/main" id="{D19B2499-A20B-0805-56D5-4DF5541E2403}"/>
              </a:ext>
            </a:extLst>
          </xdr:cNvPr>
          <xdr:cNvSpPr>
            <a:spLocks noChangeAspect="1" noChangeShapeType="1"/>
          </xdr:cNvSpPr>
        </xdr:nvSpPr>
        <xdr:spPr bwMode="auto">
          <a:xfrm rot="10800000">
            <a:off x="1788" y="476"/>
            <a:ext cx="11" cy="3"/>
          </a:xfrm>
          <a:prstGeom prst="line">
            <a:avLst/>
          </a:prstGeom>
          <a:noFill/>
          <a:ln w="190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60" name="Line 4844">
            <a:extLst>
              <a:ext uri="{FF2B5EF4-FFF2-40B4-BE49-F238E27FC236}">
                <a16:creationId xmlns:a16="http://schemas.microsoft.com/office/drawing/2014/main" id="{DFFA619C-6829-0F5F-D50B-B7A753DE03E5}"/>
              </a:ext>
            </a:extLst>
          </xdr:cNvPr>
          <xdr:cNvSpPr>
            <a:spLocks noChangeAspect="1" noChangeShapeType="1"/>
          </xdr:cNvSpPr>
        </xdr:nvSpPr>
        <xdr:spPr bwMode="auto">
          <a:xfrm rot="10800000">
            <a:off x="1799" y="432"/>
            <a:ext cx="0" cy="14"/>
          </a:xfrm>
          <a:prstGeom prst="line">
            <a:avLst/>
          </a:prstGeom>
          <a:noFill/>
          <a:ln w="190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71</xdr:col>
      <xdr:colOff>38100</xdr:colOff>
      <xdr:row>10</xdr:row>
      <xdr:rowOff>190500</xdr:rowOff>
    </xdr:from>
    <xdr:to>
      <xdr:col>71</xdr:col>
      <xdr:colOff>38100</xdr:colOff>
      <xdr:row>20</xdr:row>
      <xdr:rowOff>142875</xdr:rowOff>
    </xdr:to>
    <xdr:sp macro="" textlink="">
      <xdr:nvSpPr>
        <xdr:cNvPr id="161" name="Line 4847">
          <a:extLst>
            <a:ext uri="{FF2B5EF4-FFF2-40B4-BE49-F238E27FC236}">
              <a16:creationId xmlns:a16="http://schemas.microsoft.com/office/drawing/2014/main" id="{12DD2702-8DC5-4A4B-AD1B-81244D422A55}"/>
            </a:ext>
          </a:extLst>
        </xdr:cNvPr>
        <xdr:cNvSpPr>
          <a:spLocks noChangeShapeType="1"/>
        </xdr:cNvSpPr>
      </xdr:nvSpPr>
      <xdr:spPr bwMode="auto">
        <a:xfrm>
          <a:off x="13544550" y="2095500"/>
          <a:ext cx="0" cy="1857375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62</xdr:col>
      <xdr:colOff>114300</xdr:colOff>
      <xdr:row>3</xdr:row>
      <xdr:rowOff>170391</xdr:rowOff>
    </xdr:from>
    <xdr:to>
      <xdr:col>63</xdr:col>
      <xdr:colOff>9525</xdr:colOff>
      <xdr:row>4</xdr:row>
      <xdr:rowOff>65616</xdr:rowOff>
    </xdr:to>
    <xdr:sp macro="" textlink="">
      <xdr:nvSpPr>
        <xdr:cNvPr id="162" name="Oval 4848">
          <a:extLst>
            <a:ext uri="{FF2B5EF4-FFF2-40B4-BE49-F238E27FC236}">
              <a16:creationId xmlns:a16="http://schemas.microsoft.com/office/drawing/2014/main" id="{E9EB2AC4-2604-442B-980B-4148B7A8050D}"/>
            </a:ext>
          </a:extLst>
        </xdr:cNvPr>
        <xdr:cNvSpPr>
          <a:spLocks noChangeArrowheads="1"/>
        </xdr:cNvSpPr>
      </xdr:nvSpPr>
      <xdr:spPr bwMode="auto">
        <a:xfrm>
          <a:off x="11906250" y="741891"/>
          <a:ext cx="85725" cy="8572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71</xdr:col>
      <xdr:colOff>38100</xdr:colOff>
      <xdr:row>22</xdr:row>
      <xdr:rowOff>190500</xdr:rowOff>
    </xdr:from>
    <xdr:to>
      <xdr:col>71</xdr:col>
      <xdr:colOff>38100</xdr:colOff>
      <xdr:row>26</xdr:row>
      <xdr:rowOff>171450</xdr:rowOff>
    </xdr:to>
    <xdr:sp macro="" textlink="">
      <xdr:nvSpPr>
        <xdr:cNvPr id="163" name="Line 4850">
          <a:extLst>
            <a:ext uri="{FF2B5EF4-FFF2-40B4-BE49-F238E27FC236}">
              <a16:creationId xmlns:a16="http://schemas.microsoft.com/office/drawing/2014/main" id="{64EF9210-8E04-40DD-8035-8FC25EEF4544}"/>
            </a:ext>
          </a:extLst>
        </xdr:cNvPr>
        <xdr:cNvSpPr>
          <a:spLocks noChangeShapeType="1"/>
        </xdr:cNvSpPr>
      </xdr:nvSpPr>
      <xdr:spPr bwMode="auto">
        <a:xfrm>
          <a:off x="13544550" y="4381500"/>
          <a:ext cx="0" cy="74295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71</xdr:col>
      <xdr:colOff>0</xdr:colOff>
      <xdr:row>26</xdr:row>
      <xdr:rowOff>149226</xdr:rowOff>
    </xdr:from>
    <xdr:to>
      <xdr:col>71</xdr:col>
      <xdr:colOff>85725</xdr:colOff>
      <xdr:row>27</xdr:row>
      <xdr:rowOff>44451</xdr:rowOff>
    </xdr:to>
    <xdr:sp macro="" textlink="">
      <xdr:nvSpPr>
        <xdr:cNvPr id="164" name="Oval 4000">
          <a:extLst>
            <a:ext uri="{FF2B5EF4-FFF2-40B4-BE49-F238E27FC236}">
              <a16:creationId xmlns:a16="http://schemas.microsoft.com/office/drawing/2014/main" id="{D4717883-D67A-484F-B783-FAD776E157B3}"/>
            </a:ext>
          </a:extLst>
        </xdr:cNvPr>
        <xdr:cNvSpPr>
          <a:spLocks noChangeArrowheads="1"/>
        </xdr:cNvSpPr>
      </xdr:nvSpPr>
      <xdr:spPr bwMode="auto">
        <a:xfrm>
          <a:off x="13506450" y="5102226"/>
          <a:ext cx="85725" cy="8572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10</xdr:col>
      <xdr:colOff>142875</xdr:colOff>
      <xdr:row>7</xdr:row>
      <xdr:rowOff>76200</xdr:rowOff>
    </xdr:from>
    <xdr:to>
      <xdr:col>13</xdr:col>
      <xdr:colOff>161925</xdr:colOff>
      <xdr:row>8</xdr:row>
      <xdr:rowOff>95250</xdr:rowOff>
    </xdr:to>
    <xdr:grpSp>
      <xdr:nvGrpSpPr>
        <xdr:cNvPr id="165" name="Group 4624">
          <a:extLst>
            <a:ext uri="{FF2B5EF4-FFF2-40B4-BE49-F238E27FC236}">
              <a16:creationId xmlns:a16="http://schemas.microsoft.com/office/drawing/2014/main" id="{103703C4-1567-4DD8-B058-01ECAF5A80A3}"/>
            </a:ext>
          </a:extLst>
        </xdr:cNvPr>
        <xdr:cNvGrpSpPr>
          <a:grpSpLocks/>
        </xdr:cNvGrpSpPr>
      </xdr:nvGrpSpPr>
      <xdr:grpSpPr bwMode="auto">
        <a:xfrm>
          <a:off x="2034268" y="1409700"/>
          <a:ext cx="590550" cy="209550"/>
          <a:chOff x="965" y="749"/>
          <a:chExt cx="62" cy="22"/>
        </a:xfrm>
      </xdr:grpSpPr>
      <xdr:sp macro="" textlink="">
        <xdr:nvSpPr>
          <xdr:cNvPr id="166" name="Line 4625">
            <a:extLst>
              <a:ext uri="{FF2B5EF4-FFF2-40B4-BE49-F238E27FC236}">
                <a16:creationId xmlns:a16="http://schemas.microsoft.com/office/drawing/2014/main" id="{DBED1885-9CDF-6396-0ECC-D623576798E0}"/>
              </a:ext>
            </a:extLst>
          </xdr:cNvPr>
          <xdr:cNvSpPr>
            <a:spLocks noChangeAspect="1" noChangeShapeType="1"/>
          </xdr:cNvSpPr>
        </xdr:nvSpPr>
        <xdr:spPr bwMode="auto">
          <a:xfrm rot="-5400000">
            <a:off x="1006" y="764"/>
            <a:ext cx="11" cy="3"/>
          </a:xfrm>
          <a:prstGeom prst="line">
            <a:avLst/>
          </a:prstGeom>
          <a:noFill/>
          <a:ln w="190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67" name="Line 4626">
            <a:extLst>
              <a:ext uri="{FF2B5EF4-FFF2-40B4-BE49-F238E27FC236}">
                <a16:creationId xmlns:a16="http://schemas.microsoft.com/office/drawing/2014/main" id="{5C2EEE72-88F3-C0CA-1F20-16C63DC5D2B4}"/>
              </a:ext>
            </a:extLst>
          </xdr:cNvPr>
          <xdr:cNvSpPr>
            <a:spLocks noChangeAspect="1" noChangeShapeType="1"/>
          </xdr:cNvSpPr>
        </xdr:nvSpPr>
        <xdr:spPr bwMode="auto">
          <a:xfrm rot="16200000" flipV="1">
            <a:off x="996" y="757"/>
            <a:ext cx="22" cy="6"/>
          </a:xfrm>
          <a:prstGeom prst="line">
            <a:avLst/>
          </a:prstGeom>
          <a:noFill/>
          <a:ln w="190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68" name="Line 4627">
            <a:extLst>
              <a:ext uri="{FF2B5EF4-FFF2-40B4-BE49-F238E27FC236}">
                <a16:creationId xmlns:a16="http://schemas.microsoft.com/office/drawing/2014/main" id="{D87F1D78-F300-9BE5-3100-10F4F9E89795}"/>
              </a:ext>
            </a:extLst>
          </xdr:cNvPr>
          <xdr:cNvSpPr>
            <a:spLocks noChangeAspect="1" noChangeShapeType="1"/>
          </xdr:cNvSpPr>
        </xdr:nvSpPr>
        <xdr:spPr bwMode="auto">
          <a:xfrm rot="-5400000">
            <a:off x="990" y="757"/>
            <a:ext cx="22" cy="5"/>
          </a:xfrm>
          <a:prstGeom prst="line">
            <a:avLst/>
          </a:prstGeom>
          <a:noFill/>
          <a:ln w="190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69" name="Line 4628">
            <a:extLst>
              <a:ext uri="{FF2B5EF4-FFF2-40B4-BE49-F238E27FC236}">
                <a16:creationId xmlns:a16="http://schemas.microsoft.com/office/drawing/2014/main" id="{0426BA8D-739B-1F03-0C65-67A90B71557D}"/>
              </a:ext>
            </a:extLst>
          </xdr:cNvPr>
          <xdr:cNvSpPr>
            <a:spLocks noChangeAspect="1" noChangeShapeType="1"/>
          </xdr:cNvSpPr>
        </xdr:nvSpPr>
        <xdr:spPr bwMode="auto">
          <a:xfrm rot="16200000" flipV="1">
            <a:off x="985" y="757"/>
            <a:ext cx="22" cy="6"/>
          </a:xfrm>
          <a:prstGeom prst="line">
            <a:avLst/>
          </a:prstGeom>
          <a:noFill/>
          <a:ln w="190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70" name="Line 4629">
            <a:extLst>
              <a:ext uri="{FF2B5EF4-FFF2-40B4-BE49-F238E27FC236}">
                <a16:creationId xmlns:a16="http://schemas.microsoft.com/office/drawing/2014/main" id="{ECBF54B4-A345-17BE-15F3-9BC68F7401C4}"/>
              </a:ext>
            </a:extLst>
          </xdr:cNvPr>
          <xdr:cNvSpPr>
            <a:spLocks noChangeAspect="1" noChangeShapeType="1"/>
          </xdr:cNvSpPr>
        </xdr:nvSpPr>
        <xdr:spPr bwMode="auto">
          <a:xfrm rot="-5400000">
            <a:off x="979" y="757"/>
            <a:ext cx="22" cy="5"/>
          </a:xfrm>
          <a:prstGeom prst="line">
            <a:avLst/>
          </a:prstGeom>
          <a:noFill/>
          <a:ln w="190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71" name="Line 4630">
            <a:extLst>
              <a:ext uri="{FF2B5EF4-FFF2-40B4-BE49-F238E27FC236}">
                <a16:creationId xmlns:a16="http://schemas.microsoft.com/office/drawing/2014/main" id="{0D3092D1-44ED-C295-66F2-DB6F68C7C894}"/>
              </a:ext>
            </a:extLst>
          </xdr:cNvPr>
          <xdr:cNvSpPr>
            <a:spLocks noChangeAspect="1" noChangeShapeType="1"/>
          </xdr:cNvSpPr>
        </xdr:nvSpPr>
        <xdr:spPr bwMode="auto">
          <a:xfrm rot="16200000" flipV="1">
            <a:off x="973" y="757"/>
            <a:ext cx="22" cy="6"/>
          </a:xfrm>
          <a:prstGeom prst="line">
            <a:avLst/>
          </a:prstGeom>
          <a:noFill/>
          <a:ln w="190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72" name="Line 4631">
            <a:extLst>
              <a:ext uri="{FF2B5EF4-FFF2-40B4-BE49-F238E27FC236}">
                <a16:creationId xmlns:a16="http://schemas.microsoft.com/office/drawing/2014/main" id="{04F20DC9-4BAA-EF04-48E5-E5E0311D0385}"/>
              </a:ext>
            </a:extLst>
          </xdr:cNvPr>
          <xdr:cNvSpPr>
            <a:spLocks noChangeAspect="1" noChangeShapeType="1"/>
          </xdr:cNvSpPr>
        </xdr:nvSpPr>
        <xdr:spPr bwMode="auto">
          <a:xfrm rot="-5400000">
            <a:off x="974" y="753"/>
            <a:ext cx="11" cy="3"/>
          </a:xfrm>
          <a:prstGeom prst="line">
            <a:avLst/>
          </a:prstGeom>
          <a:noFill/>
          <a:ln w="190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73" name="Line 4632">
            <a:extLst>
              <a:ext uri="{FF2B5EF4-FFF2-40B4-BE49-F238E27FC236}">
                <a16:creationId xmlns:a16="http://schemas.microsoft.com/office/drawing/2014/main" id="{2DFEB188-F7DA-2ACC-E31F-215950F98254}"/>
              </a:ext>
            </a:extLst>
          </xdr:cNvPr>
          <xdr:cNvSpPr>
            <a:spLocks noChangeAspect="1" noChangeShapeType="1"/>
          </xdr:cNvSpPr>
        </xdr:nvSpPr>
        <xdr:spPr bwMode="auto">
          <a:xfrm rot="-5400000">
            <a:off x="1020" y="753"/>
            <a:ext cx="0" cy="14"/>
          </a:xfrm>
          <a:prstGeom prst="line">
            <a:avLst/>
          </a:prstGeom>
          <a:noFill/>
          <a:ln w="190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74" name="Line 4633">
            <a:extLst>
              <a:ext uri="{FF2B5EF4-FFF2-40B4-BE49-F238E27FC236}">
                <a16:creationId xmlns:a16="http://schemas.microsoft.com/office/drawing/2014/main" id="{2ECDFBD3-BC19-B3F5-DB10-BF39A04C92D9}"/>
              </a:ext>
            </a:extLst>
          </xdr:cNvPr>
          <xdr:cNvSpPr>
            <a:spLocks noChangeAspect="1" noChangeShapeType="1"/>
          </xdr:cNvSpPr>
        </xdr:nvSpPr>
        <xdr:spPr bwMode="auto">
          <a:xfrm rot="-5400000">
            <a:off x="972" y="753"/>
            <a:ext cx="0" cy="14"/>
          </a:xfrm>
          <a:prstGeom prst="line">
            <a:avLst/>
          </a:prstGeom>
          <a:noFill/>
          <a:ln w="190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10</xdr:col>
      <xdr:colOff>0</xdr:colOff>
      <xdr:row>7</xdr:row>
      <xdr:rowOff>180975</xdr:rowOff>
    </xdr:from>
    <xdr:to>
      <xdr:col>11</xdr:col>
      <xdr:colOff>57150</xdr:colOff>
      <xdr:row>7</xdr:row>
      <xdr:rowOff>180975</xdr:rowOff>
    </xdr:to>
    <xdr:sp macro="" textlink="">
      <xdr:nvSpPr>
        <xdr:cNvPr id="175" name="Line 2250">
          <a:extLst>
            <a:ext uri="{FF2B5EF4-FFF2-40B4-BE49-F238E27FC236}">
              <a16:creationId xmlns:a16="http://schemas.microsoft.com/office/drawing/2014/main" id="{D26FFCA3-2FB8-42E8-9198-AB158F425475}"/>
            </a:ext>
          </a:extLst>
        </xdr:cNvPr>
        <xdr:cNvSpPr>
          <a:spLocks noChangeShapeType="1"/>
        </xdr:cNvSpPr>
      </xdr:nvSpPr>
      <xdr:spPr bwMode="auto">
        <a:xfrm>
          <a:off x="1895475" y="1514475"/>
          <a:ext cx="24765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76200</xdr:colOff>
      <xdr:row>6</xdr:row>
      <xdr:rowOff>104775</xdr:rowOff>
    </xdr:from>
    <xdr:to>
      <xdr:col>20</xdr:col>
      <xdr:colOff>57150</xdr:colOff>
      <xdr:row>9</xdr:row>
      <xdr:rowOff>38100</xdr:rowOff>
    </xdr:to>
    <xdr:grpSp>
      <xdr:nvGrpSpPr>
        <xdr:cNvPr id="176" name="Group 3576">
          <a:extLst>
            <a:ext uri="{FF2B5EF4-FFF2-40B4-BE49-F238E27FC236}">
              <a16:creationId xmlns:a16="http://schemas.microsoft.com/office/drawing/2014/main" id="{699A144E-BDE6-402A-8780-8B18E3FFA2F8}"/>
            </a:ext>
          </a:extLst>
        </xdr:cNvPr>
        <xdr:cNvGrpSpPr>
          <a:grpSpLocks/>
        </xdr:cNvGrpSpPr>
      </xdr:nvGrpSpPr>
      <xdr:grpSpPr bwMode="auto">
        <a:xfrm>
          <a:off x="3301093" y="1247775"/>
          <a:ext cx="552450" cy="504825"/>
          <a:chOff x="1061" y="1939"/>
          <a:chExt cx="80" cy="39"/>
        </a:xfrm>
      </xdr:grpSpPr>
      <xdr:sp macro="" textlink="">
        <xdr:nvSpPr>
          <xdr:cNvPr id="177" name="Arc 3573">
            <a:extLst>
              <a:ext uri="{FF2B5EF4-FFF2-40B4-BE49-F238E27FC236}">
                <a16:creationId xmlns:a16="http://schemas.microsoft.com/office/drawing/2014/main" id="{79CB8EF0-EB75-4AE4-143E-79FB44860826}"/>
              </a:ext>
            </a:extLst>
          </xdr:cNvPr>
          <xdr:cNvSpPr>
            <a:spLocks noChangeAspect="1"/>
          </xdr:cNvSpPr>
        </xdr:nvSpPr>
        <xdr:spPr bwMode="auto">
          <a:xfrm flipH="1">
            <a:off x="1106" y="1939"/>
            <a:ext cx="35" cy="39"/>
          </a:xfrm>
          <a:custGeom>
            <a:avLst/>
            <a:gdLst>
              <a:gd name="T0" fmla="*/ 0 w 43200"/>
              <a:gd name="T1" fmla="*/ 0 h 38263"/>
              <a:gd name="T2" fmla="*/ 0 w 43200"/>
              <a:gd name="T3" fmla="*/ 0 h 38263"/>
              <a:gd name="T4" fmla="*/ 0 w 43200"/>
              <a:gd name="T5" fmla="*/ 0 h 38263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43200" h="38263" fill="none" extrusionOk="0">
                <a:moveTo>
                  <a:pt x="26" y="22673"/>
                </a:moveTo>
                <a:cubicBezTo>
                  <a:pt x="8" y="22315"/>
                  <a:pt x="0" y="21957"/>
                  <a:pt x="0" y="21600"/>
                </a:cubicBezTo>
                <a:cubicBezTo>
                  <a:pt x="0" y="9670"/>
                  <a:pt x="9670" y="0"/>
                  <a:pt x="21600" y="0"/>
                </a:cubicBezTo>
                <a:cubicBezTo>
                  <a:pt x="33529" y="0"/>
                  <a:pt x="43200" y="9670"/>
                  <a:pt x="43200" y="21600"/>
                </a:cubicBezTo>
                <a:cubicBezTo>
                  <a:pt x="43200" y="28048"/>
                  <a:pt x="40318" y="34159"/>
                  <a:pt x="35344" y="38263"/>
                </a:cubicBezTo>
              </a:path>
              <a:path w="43200" h="38263" stroke="0" extrusionOk="0">
                <a:moveTo>
                  <a:pt x="26" y="22673"/>
                </a:moveTo>
                <a:cubicBezTo>
                  <a:pt x="8" y="22315"/>
                  <a:pt x="0" y="21957"/>
                  <a:pt x="0" y="21600"/>
                </a:cubicBezTo>
                <a:cubicBezTo>
                  <a:pt x="0" y="9670"/>
                  <a:pt x="9670" y="0"/>
                  <a:pt x="21600" y="0"/>
                </a:cubicBezTo>
                <a:cubicBezTo>
                  <a:pt x="33529" y="0"/>
                  <a:pt x="43200" y="9670"/>
                  <a:pt x="43200" y="21600"/>
                </a:cubicBezTo>
                <a:cubicBezTo>
                  <a:pt x="43200" y="28048"/>
                  <a:pt x="40318" y="34159"/>
                  <a:pt x="35344" y="38263"/>
                </a:cubicBezTo>
                <a:lnTo>
                  <a:pt x="21600" y="21600"/>
                </a:lnTo>
                <a:lnTo>
                  <a:pt x="26" y="22673"/>
                </a:lnTo>
                <a:close/>
              </a:path>
            </a:pathLst>
          </a:custGeom>
          <a:noFill/>
          <a:ln w="190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CCCCFF" mc:Ignorable="a14" a14:legacySpreadsheetColorIndex="31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78" name="Arc 3574">
            <a:extLst>
              <a:ext uri="{FF2B5EF4-FFF2-40B4-BE49-F238E27FC236}">
                <a16:creationId xmlns:a16="http://schemas.microsoft.com/office/drawing/2014/main" id="{45253249-8A3C-5E81-C44A-BDC9F6EE2539}"/>
              </a:ext>
            </a:extLst>
          </xdr:cNvPr>
          <xdr:cNvSpPr>
            <a:spLocks noChangeAspect="1"/>
          </xdr:cNvSpPr>
        </xdr:nvSpPr>
        <xdr:spPr bwMode="auto">
          <a:xfrm>
            <a:off x="1085" y="1939"/>
            <a:ext cx="34" cy="39"/>
          </a:xfrm>
          <a:custGeom>
            <a:avLst/>
            <a:gdLst>
              <a:gd name="T0" fmla="*/ 0 w 43200"/>
              <a:gd name="T1" fmla="*/ 0 h 38440"/>
              <a:gd name="T2" fmla="*/ 0 w 43200"/>
              <a:gd name="T3" fmla="*/ 0 h 38440"/>
              <a:gd name="T4" fmla="*/ 0 w 43200"/>
              <a:gd name="T5" fmla="*/ 0 h 3844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43200" h="38440" fill="none" extrusionOk="0">
                <a:moveTo>
                  <a:pt x="8070" y="38438"/>
                </a:moveTo>
                <a:cubicBezTo>
                  <a:pt x="2968" y="34338"/>
                  <a:pt x="0" y="28145"/>
                  <a:pt x="0" y="21600"/>
                </a:cubicBezTo>
                <a:cubicBezTo>
                  <a:pt x="0" y="9670"/>
                  <a:pt x="9670" y="0"/>
                  <a:pt x="21600" y="0"/>
                </a:cubicBezTo>
                <a:cubicBezTo>
                  <a:pt x="33529" y="0"/>
                  <a:pt x="43200" y="9670"/>
                  <a:pt x="43200" y="21600"/>
                </a:cubicBezTo>
                <a:cubicBezTo>
                  <a:pt x="43200" y="28146"/>
                  <a:pt x="40230" y="34340"/>
                  <a:pt x="35126" y="38439"/>
                </a:cubicBezTo>
              </a:path>
              <a:path w="43200" h="38440" stroke="0" extrusionOk="0">
                <a:moveTo>
                  <a:pt x="8070" y="38438"/>
                </a:moveTo>
                <a:cubicBezTo>
                  <a:pt x="2968" y="34338"/>
                  <a:pt x="0" y="28145"/>
                  <a:pt x="0" y="21600"/>
                </a:cubicBezTo>
                <a:cubicBezTo>
                  <a:pt x="0" y="9670"/>
                  <a:pt x="9670" y="0"/>
                  <a:pt x="21600" y="0"/>
                </a:cubicBezTo>
                <a:cubicBezTo>
                  <a:pt x="33529" y="0"/>
                  <a:pt x="43200" y="9670"/>
                  <a:pt x="43200" y="21600"/>
                </a:cubicBezTo>
                <a:cubicBezTo>
                  <a:pt x="43200" y="28146"/>
                  <a:pt x="40230" y="34340"/>
                  <a:pt x="35126" y="38439"/>
                </a:cubicBezTo>
                <a:lnTo>
                  <a:pt x="21600" y="21600"/>
                </a:lnTo>
                <a:lnTo>
                  <a:pt x="8070" y="38438"/>
                </a:lnTo>
                <a:close/>
              </a:path>
            </a:pathLst>
          </a:custGeom>
          <a:noFill/>
          <a:ln w="190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CCCCFF" mc:Ignorable="a14" a14:legacySpreadsheetColorIndex="31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79" name="Arc 3575">
            <a:extLst>
              <a:ext uri="{FF2B5EF4-FFF2-40B4-BE49-F238E27FC236}">
                <a16:creationId xmlns:a16="http://schemas.microsoft.com/office/drawing/2014/main" id="{C1AC8075-69E7-5A8D-4399-0B3C0E9FF35B}"/>
              </a:ext>
            </a:extLst>
          </xdr:cNvPr>
          <xdr:cNvSpPr>
            <a:spLocks noChangeAspect="1"/>
          </xdr:cNvSpPr>
        </xdr:nvSpPr>
        <xdr:spPr bwMode="auto">
          <a:xfrm>
            <a:off x="1061" y="1939"/>
            <a:ext cx="35" cy="39"/>
          </a:xfrm>
          <a:custGeom>
            <a:avLst/>
            <a:gdLst>
              <a:gd name="T0" fmla="*/ 0 w 43200"/>
              <a:gd name="T1" fmla="*/ 0 h 38263"/>
              <a:gd name="T2" fmla="*/ 0 w 43200"/>
              <a:gd name="T3" fmla="*/ 0 h 38263"/>
              <a:gd name="T4" fmla="*/ 0 w 43200"/>
              <a:gd name="T5" fmla="*/ 0 h 38263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43200" h="38263" fill="none" extrusionOk="0">
                <a:moveTo>
                  <a:pt x="26" y="22673"/>
                </a:moveTo>
                <a:cubicBezTo>
                  <a:pt x="8" y="22315"/>
                  <a:pt x="0" y="21957"/>
                  <a:pt x="0" y="21600"/>
                </a:cubicBezTo>
                <a:cubicBezTo>
                  <a:pt x="0" y="9670"/>
                  <a:pt x="9670" y="0"/>
                  <a:pt x="21600" y="0"/>
                </a:cubicBezTo>
                <a:cubicBezTo>
                  <a:pt x="33529" y="0"/>
                  <a:pt x="43200" y="9670"/>
                  <a:pt x="43200" y="21600"/>
                </a:cubicBezTo>
                <a:cubicBezTo>
                  <a:pt x="43200" y="28048"/>
                  <a:pt x="40318" y="34159"/>
                  <a:pt x="35344" y="38263"/>
                </a:cubicBezTo>
              </a:path>
              <a:path w="43200" h="38263" stroke="0" extrusionOk="0">
                <a:moveTo>
                  <a:pt x="26" y="22673"/>
                </a:moveTo>
                <a:cubicBezTo>
                  <a:pt x="8" y="22315"/>
                  <a:pt x="0" y="21957"/>
                  <a:pt x="0" y="21600"/>
                </a:cubicBezTo>
                <a:cubicBezTo>
                  <a:pt x="0" y="9670"/>
                  <a:pt x="9670" y="0"/>
                  <a:pt x="21600" y="0"/>
                </a:cubicBezTo>
                <a:cubicBezTo>
                  <a:pt x="33529" y="0"/>
                  <a:pt x="43200" y="9670"/>
                  <a:pt x="43200" y="21600"/>
                </a:cubicBezTo>
                <a:cubicBezTo>
                  <a:pt x="43200" y="28048"/>
                  <a:pt x="40318" y="34159"/>
                  <a:pt x="35344" y="38263"/>
                </a:cubicBezTo>
                <a:lnTo>
                  <a:pt x="21600" y="21600"/>
                </a:lnTo>
                <a:lnTo>
                  <a:pt x="26" y="22673"/>
                </a:lnTo>
                <a:close/>
              </a:path>
            </a:pathLst>
          </a:custGeom>
          <a:noFill/>
          <a:ln w="190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CCCCFF" mc:Ignorable="a14" a14:legacySpreadsheetColorIndex="31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/>
  </xdr:twoCellAnchor>
  <xdr:twoCellAnchor>
    <xdr:from>
      <xdr:col>21</xdr:col>
      <xdr:colOff>9525</xdr:colOff>
      <xdr:row>7</xdr:row>
      <xdr:rowOff>85725</xdr:rowOff>
    </xdr:from>
    <xdr:to>
      <xdr:col>24</xdr:col>
      <xdr:colOff>28575</xdr:colOff>
      <xdr:row>8</xdr:row>
      <xdr:rowOff>104775</xdr:rowOff>
    </xdr:to>
    <xdr:grpSp>
      <xdr:nvGrpSpPr>
        <xdr:cNvPr id="180" name="Group 4624">
          <a:extLst>
            <a:ext uri="{FF2B5EF4-FFF2-40B4-BE49-F238E27FC236}">
              <a16:creationId xmlns:a16="http://schemas.microsoft.com/office/drawing/2014/main" id="{BF6ABB50-9EAD-405C-8FD9-FF5D88982E9C}"/>
            </a:ext>
          </a:extLst>
        </xdr:cNvPr>
        <xdr:cNvGrpSpPr>
          <a:grpSpLocks/>
        </xdr:cNvGrpSpPr>
      </xdr:nvGrpSpPr>
      <xdr:grpSpPr bwMode="auto">
        <a:xfrm>
          <a:off x="3996418" y="1419225"/>
          <a:ext cx="590550" cy="209550"/>
          <a:chOff x="965" y="749"/>
          <a:chExt cx="62" cy="22"/>
        </a:xfrm>
      </xdr:grpSpPr>
      <xdr:sp macro="" textlink="">
        <xdr:nvSpPr>
          <xdr:cNvPr id="181" name="Line 4625">
            <a:extLst>
              <a:ext uri="{FF2B5EF4-FFF2-40B4-BE49-F238E27FC236}">
                <a16:creationId xmlns:a16="http://schemas.microsoft.com/office/drawing/2014/main" id="{7887D41E-4532-C88A-6223-5F2767864DD9}"/>
              </a:ext>
            </a:extLst>
          </xdr:cNvPr>
          <xdr:cNvSpPr>
            <a:spLocks noChangeAspect="1" noChangeShapeType="1"/>
          </xdr:cNvSpPr>
        </xdr:nvSpPr>
        <xdr:spPr bwMode="auto">
          <a:xfrm rot="-5400000">
            <a:off x="1006" y="764"/>
            <a:ext cx="11" cy="3"/>
          </a:xfrm>
          <a:prstGeom prst="line">
            <a:avLst/>
          </a:prstGeom>
          <a:noFill/>
          <a:ln w="190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82" name="Line 4626">
            <a:extLst>
              <a:ext uri="{FF2B5EF4-FFF2-40B4-BE49-F238E27FC236}">
                <a16:creationId xmlns:a16="http://schemas.microsoft.com/office/drawing/2014/main" id="{7F716056-FB9C-BC2F-AAC9-CFAC84347FED}"/>
              </a:ext>
            </a:extLst>
          </xdr:cNvPr>
          <xdr:cNvSpPr>
            <a:spLocks noChangeAspect="1" noChangeShapeType="1"/>
          </xdr:cNvSpPr>
        </xdr:nvSpPr>
        <xdr:spPr bwMode="auto">
          <a:xfrm rot="16200000" flipV="1">
            <a:off x="996" y="757"/>
            <a:ext cx="22" cy="6"/>
          </a:xfrm>
          <a:prstGeom prst="line">
            <a:avLst/>
          </a:prstGeom>
          <a:noFill/>
          <a:ln w="190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83" name="Line 4627">
            <a:extLst>
              <a:ext uri="{FF2B5EF4-FFF2-40B4-BE49-F238E27FC236}">
                <a16:creationId xmlns:a16="http://schemas.microsoft.com/office/drawing/2014/main" id="{B1C27802-202A-45D5-6937-5D88A3AAFF69}"/>
              </a:ext>
            </a:extLst>
          </xdr:cNvPr>
          <xdr:cNvSpPr>
            <a:spLocks noChangeAspect="1" noChangeShapeType="1"/>
          </xdr:cNvSpPr>
        </xdr:nvSpPr>
        <xdr:spPr bwMode="auto">
          <a:xfrm rot="-5400000">
            <a:off x="990" y="757"/>
            <a:ext cx="22" cy="5"/>
          </a:xfrm>
          <a:prstGeom prst="line">
            <a:avLst/>
          </a:prstGeom>
          <a:noFill/>
          <a:ln w="190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84" name="Line 4628">
            <a:extLst>
              <a:ext uri="{FF2B5EF4-FFF2-40B4-BE49-F238E27FC236}">
                <a16:creationId xmlns:a16="http://schemas.microsoft.com/office/drawing/2014/main" id="{BF9E437A-CEC6-EBE8-00DE-A1320C7B0FA7}"/>
              </a:ext>
            </a:extLst>
          </xdr:cNvPr>
          <xdr:cNvSpPr>
            <a:spLocks noChangeAspect="1" noChangeShapeType="1"/>
          </xdr:cNvSpPr>
        </xdr:nvSpPr>
        <xdr:spPr bwMode="auto">
          <a:xfrm rot="16200000" flipV="1">
            <a:off x="985" y="757"/>
            <a:ext cx="22" cy="6"/>
          </a:xfrm>
          <a:prstGeom prst="line">
            <a:avLst/>
          </a:prstGeom>
          <a:noFill/>
          <a:ln w="190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85" name="Line 4629">
            <a:extLst>
              <a:ext uri="{FF2B5EF4-FFF2-40B4-BE49-F238E27FC236}">
                <a16:creationId xmlns:a16="http://schemas.microsoft.com/office/drawing/2014/main" id="{32DE55DD-A07C-F19D-DA90-744C21081D00}"/>
              </a:ext>
            </a:extLst>
          </xdr:cNvPr>
          <xdr:cNvSpPr>
            <a:spLocks noChangeAspect="1" noChangeShapeType="1"/>
          </xdr:cNvSpPr>
        </xdr:nvSpPr>
        <xdr:spPr bwMode="auto">
          <a:xfrm rot="-5400000">
            <a:off x="979" y="757"/>
            <a:ext cx="22" cy="5"/>
          </a:xfrm>
          <a:prstGeom prst="line">
            <a:avLst/>
          </a:prstGeom>
          <a:noFill/>
          <a:ln w="190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86" name="Line 4630">
            <a:extLst>
              <a:ext uri="{FF2B5EF4-FFF2-40B4-BE49-F238E27FC236}">
                <a16:creationId xmlns:a16="http://schemas.microsoft.com/office/drawing/2014/main" id="{F44BFE5C-5F2D-46B5-C057-341CC85E856D}"/>
              </a:ext>
            </a:extLst>
          </xdr:cNvPr>
          <xdr:cNvSpPr>
            <a:spLocks noChangeAspect="1" noChangeShapeType="1"/>
          </xdr:cNvSpPr>
        </xdr:nvSpPr>
        <xdr:spPr bwMode="auto">
          <a:xfrm rot="16200000" flipV="1">
            <a:off x="973" y="757"/>
            <a:ext cx="22" cy="6"/>
          </a:xfrm>
          <a:prstGeom prst="line">
            <a:avLst/>
          </a:prstGeom>
          <a:noFill/>
          <a:ln w="190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87" name="Line 4631">
            <a:extLst>
              <a:ext uri="{FF2B5EF4-FFF2-40B4-BE49-F238E27FC236}">
                <a16:creationId xmlns:a16="http://schemas.microsoft.com/office/drawing/2014/main" id="{DBC16AD8-5123-6EFA-BFAB-9B342D8F7DD5}"/>
              </a:ext>
            </a:extLst>
          </xdr:cNvPr>
          <xdr:cNvSpPr>
            <a:spLocks noChangeAspect="1" noChangeShapeType="1"/>
          </xdr:cNvSpPr>
        </xdr:nvSpPr>
        <xdr:spPr bwMode="auto">
          <a:xfrm rot="-5400000">
            <a:off x="974" y="753"/>
            <a:ext cx="11" cy="3"/>
          </a:xfrm>
          <a:prstGeom prst="line">
            <a:avLst/>
          </a:prstGeom>
          <a:noFill/>
          <a:ln w="190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88" name="Line 4632">
            <a:extLst>
              <a:ext uri="{FF2B5EF4-FFF2-40B4-BE49-F238E27FC236}">
                <a16:creationId xmlns:a16="http://schemas.microsoft.com/office/drawing/2014/main" id="{514706BC-19A1-1347-4734-243927BB59FF}"/>
              </a:ext>
            </a:extLst>
          </xdr:cNvPr>
          <xdr:cNvSpPr>
            <a:spLocks noChangeAspect="1" noChangeShapeType="1"/>
          </xdr:cNvSpPr>
        </xdr:nvSpPr>
        <xdr:spPr bwMode="auto">
          <a:xfrm rot="-5400000">
            <a:off x="1020" y="753"/>
            <a:ext cx="0" cy="14"/>
          </a:xfrm>
          <a:prstGeom prst="line">
            <a:avLst/>
          </a:prstGeom>
          <a:noFill/>
          <a:ln w="190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89" name="Line 4633">
            <a:extLst>
              <a:ext uri="{FF2B5EF4-FFF2-40B4-BE49-F238E27FC236}">
                <a16:creationId xmlns:a16="http://schemas.microsoft.com/office/drawing/2014/main" id="{16B96650-8FBE-C562-6F37-25DD3E8075E0}"/>
              </a:ext>
            </a:extLst>
          </xdr:cNvPr>
          <xdr:cNvSpPr>
            <a:spLocks noChangeAspect="1" noChangeShapeType="1"/>
          </xdr:cNvSpPr>
        </xdr:nvSpPr>
        <xdr:spPr bwMode="auto">
          <a:xfrm rot="-5400000">
            <a:off x="972" y="753"/>
            <a:ext cx="0" cy="14"/>
          </a:xfrm>
          <a:prstGeom prst="line">
            <a:avLst/>
          </a:prstGeom>
          <a:noFill/>
          <a:ln w="190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20</xdr:col>
      <xdr:colOff>53976</xdr:colOff>
      <xdr:row>8</xdr:row>
      <xdr:rowOff>0</xdr:rowOff>
    </xdr:from>
    <xdr:to>
      <xdr:col>21</xdr:col>
      <xdr:colOff>120651</xdr:colOff>
      <xdr:row>8</xdr:row>
      <xdr:rowOff>0</xdr:rowOff>
    </xdr:to>
    <xdr:sp macro="" textlink="">
      <xdr:nvSpPr>
        <xdr:cNvPr id="190" name="Line 2250">
          <a:extLst>
            <a:ext uri="{FF2B5EF4-FFF2-40B4-BE49-F238E27FC236}">
              <a16:creationId xmlns:a16="http://schemas.microsoft.com/office/drawing/2014/main" id="{1EFE2FD8-C013-4DCD-8E70-C56B674BA91F}"/>
            </a:ext>
          </a:extLst>
        </xdr:cNvPr>
        <xdr:cNvSpPr>
          <a:spLocks noChangeShapeType="1"/>
        </xdr:cNvSpPr>
      </xdr:nvSpPr>
      <xdr:spPr bwMode="auto">
        <a:xfrm>
          <a:off x="3854451" y="1524000"/>
          <a:ext cx="257175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44</xdr:col>
      <xdr:colOff>79376</xdr:colOff>
      <xdr:row>5</xdr:row>
      <xdr:rowOff>3970</xdr:rowOff>
    </xdr:from>
    <xdr:to>
      <xdr:col>55</xdr:col>
      <xdr:colOff>15876</xdr:colOff>
      <xdr:row>24</xdr:row>
      <xdr:rowOff>146845</xdr:rowOff>
    </xdr:to>
    <xdr:sp macro="" textlink="">
      <xdr:nvSpPr>
        <xdr:cNvPr id="191" name="正方形/長方形 190">
          <a:extLst>
            <a:ext uri="{FF2B5EF4-FFF2-40B4-BE49-F238E27FC236}">
              <a16:creationId xmlns:a16="http://schemas.microsoft.com/office/drawing/2014/main" id="{1ADFEE9C-4E8F-4E18-A7C9-9F9D50E741CC}"/>
            </a:ext>
          </a:extLst>
        </xdr:cNvPr>
        <xdr:cNvSpPr/>
      </xdr:nvSpPr>
      <xdr:spPr bwMode="auto">
        <a:xfrm>
          <a:off x="8442326" y="956470"/>
          <a:ext cx="2032000" cy="3762375"/>
        </a:xfrm>
        <a:prstGeom prst="rect">
          <a:avLst/>
        </a:prstGeom>
        <a:noFill/>
        <a:ln w="19050" cap="flat" cmpd="sng" algn="ctr">
          <a:solidFill>
            <a:srgbClr val="FF0000"/>
          </a:solidFill>
          <a:prstDash val="dashDot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endParaRPr kumimoji="1" lang="ja-JP" altLang="en-US" sz="1400"/>
        </a:p>
      </xdr:txBody>
    </xdr:sp>
    <xdr:clientData/>
  </xdr:twoCellAnchor>
  <xdr:twoCellAnchor>
    <xdr:from>
      <xdr:col>58</xdr:col>
      <xdr:colOff>158750</xdr:colOff>
      <xdr:row>5</xdr:row>
      <xdr:rowOff>1589</xdr:rowOff>
    </xdr:from>
    <xdr:to>
      <xdr:col>67</xdr:col>
      <xdr:colOff>73026</xdr:colOff>
      <xdr:row>24</xdr:row>
      <xdr:rowOff>144464</xdr:rowOff>
    </xdr:to>
    <xdr:sp macro="" textlink="">
      <xdr:nvSpPr>
        <xdr:cNvPr id="192" name="正方形/長方形 191">
          <a:extLst>
            <a:ext uri="{FF2B5EF4-FFF2-40B4-BE49-F238E27FC236}">
              <a16:creationId xmlns:a16="http://schemas.microsoft.com/office/drawing/2014/main" id="{C864CDDB-B951-43F0-B732-6D08F44D0DFB}"/>
            </a:ext>
          </a:extLst>
        </xdr:cNvPr>
        <xdr:cNvSpPr/>
      </xdr:nvSpPr>
      <xdr:spPr bwMode="auto">
        <a:xfrm>
          <a:off x="11188700" y="954089"/>
          <a:ext cx="1628776" cy="3762375"/>
        </a:xfrm>
        <a:prstGeom prst="rect">
          <a:avLst/>
        </a:prstGeom>
        <a:noFill/>
        <a:ln w="19050" cap="flat" cmpd="sng" algn="ctr">
          <a:solidFill>
            <a:srgbClr val="FF0000"/>
          </a:solidFill>
          <a:prstDash val="dashDot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endParaRPr kumimoji="1" lang="ja-JP" altLang="en-US" sz="1400"/>
        </a:p>
      </xdr:txBody>
    </xdr:sp>
    <xdr:clientData/>
  </xdr:twoCellAnchor>
  <xdr:twoCellAnchor>
    <xdr:from>
      <xdr:col>63</xdr:col>
      <xdr:colOff>144875</xdr:colOff>
      <xdr:row>1</xdr:row>
      <xdr:rowOff>122872</xdr:rowOff>
    </xdr:from>
    <xdr:to>
      <xdr:col>77</xdr:col>
      <xdr:colOff>31752</xdr:colOff>
      <xdr:row>25</xdr:row>
      <xdr:rowOff>97193</xdr:rowOff>
    </xdr:to>
    <xdr:sp macro="" textlink="">
      <xdr:nvSpPr>
        <xdr:cNvPr id="193" name="円/楕円 1">
          <a:extLst>
            <a:ext uri="{FF2B5EF4-FFF2-40B4-BE49-F238E27FC236}">
              <a16:creationId xmlns:a16="http://schemas.microsoft.com/office/drawing/2014/main" id="{CD674CFF-CA2C-4A33-B629-8D71EC1AF9EC}"/>
            </a:ext>
          </a:extLst>
        </xdr:cNvPr>
        <xdr:cNvSpPr>
          <a:spLocks noChangeArrowheads="1"/>
        </xdr:cNvSpPr>
      </xdr:nvSpPr>
      <xdr:spPr bwMode="auto">
        <a:xfrm>
          <a:off x="12127325" y="313372"/>
          <a:ext cx="2553877" cy="4546321"/>
        </a:xfrm>
        <a:custGeom>
          <a:avLst/>
          <a:gdLst>
            <a:gd name="connsiteX0" fmla="*/ 0 w 2657475"/>
            <a:gd name="connsiteY0" fmla="*/ 2228850 h 4457700"/>
            <a:gd name="connsiteX1" fmla="*/ 1328738 w 2657475"/>
            <a:gd name="connsiteY1" fmla="*/ 0 h 4457700"/>
            <a:gd name="connsiteX2" fmla="*/ 2657476 w 2657475"/>
            <a:gd name="connsiteY2" fmla="*/ 2228850 h 4457700"/>
            <a:gd name="connsiteX3" fmla="*/ 1328738 w 2657475"/>
            <a:gd name="connsiteY3" fmla="*/ 4457700 h 4457700"/>
            <a:gd name="connsiteX4" fmla="*/ 0 w 2657475"/>
            <a:gd name="connsiteY4" fmla="*/ 2228850 h 4457700"/>
            <a:gd name="connsiteX0" fmla="*/ 159640 w 2817116"/>
            <a:gd name="connsiteY0" fmla="*/ 2402785 h 4631635"/>
            <a:gd name="connsiteX1" fmla="*/ 171282 w 2817116"/>
            <a:gd name="connsiteY1" fmla="*/ 398302 h 4631635"/>
            <a:gd name="connsiteX2" fmla="*/ 1488378 w 2817116"/>
            <a:gd name="connsiteY2" fmla="*/ 173935 h 4631635"/>
            <a:gd name="connsiteX3" fmla="*/ 2817116 w 2817116"/>
            <a:gd name="connsiteY3" fmla="*/ 2402785 h 4631635"/>
            <a:gd name="connsiteX4" fmla="*/ 1488378 w 2817116"/>
            <a:gd name="connsiteY4" fmla="*/ 4631635 h 4631635"/>
            <a:gd name="connsiteX5" fmla="*/ 159640 w 2817116"/>
            <a:gd name="connsiteY5" fmla="*/ 2402785 h 4631635"/>
            <a:gd name="connsiteX0" fmla="*/ 446734 w 2712627"/>
            <a:gd name="connsiteY0" fmla="*/ 2402785 h 4631635"/>
            <a:gd name="connsiteX1" fmla="*/ 66793 w 2712627"/>
            <a:gd name="connsiteY1" fmla="*/ 398302 h 4631635"/>
            <a:gd name="connsiteX2" fmla="*/ 1383889 w 2712627"/>
            <a:gd name="connsiteY2" fmla="*/ 173935 h 4631635"/>
            <a:gd name="connsiteX3" fmla="*/ 2712627 w 2712627"/>
            <a:gd name="connsiteY3" fmla="*/ 2402785 h 4631635"/>
            <a:gd name="connsiteX4" fmla="*/ 1383889 w 2712627"/>
            <a:gd name="connsiteY4" fmla="*/ 4631635 h 4631635"/>
            <a:gd name="connsiteX5" fmla="*/ 446734 w 2712627"/>
            <a:gd name="connsiteY5" fmla="*/ 2402785 h 4631635"/>
            <a:gd name="connsiteX0" fmla="*/ 446734 w 2553877"/>
            <a:gd name="connsiteY0" fmla="*/ 2423061 h 4653855"/>
            <a:gd name="connsiteX1" fmla="*/ 66793 w 2553877"/>
            <a:gd name="connsiteY1" fmla="*/ 418578 h 4653855"/>
            <a:gd name="connsiteX2" fmla="*/ 1383889 w 2553877"/>
            <a:gd name="connsiteY2" fmla="*/ 194211 h 4653855"/>
            <a:gd name="connsiteX3" fmla="*/ 2553877 w 2553877"/>
            <a:gd name="connsiteY3" fmla="*/ 2698228 h 4653855"/>
            <a:gd name="connsiteX4" fmla="*/ 1383889 w 2553877"/>
            <a:gd name="connsiteY4" fmla="*/ 4651911 h 4653855"/>
            <a:gd name="connsiteX5" fmla="*/ 446734 w 2553877"/>
            <a:gd name="connsiteY5" fmla="*/ 2423061 h 4653855"/>
            <a:gd name="connsiteX0" fmla="*/ 446734 w 2553877"/>
            <a:gd name="connsiteY0" fmla="*/ 2315527 h 4546321"/>
            <a:gd name="connsiteX1" fmla="*/ 66793 w 2553877"/>
            <a:gd name="connsiteY1" fmla="*/ 311044 h 4546321"/>
            <a:gd name="connsiteX2" fmla="*/ 1479139 w 2553877"/>
            <a:gd name="connsiteY2" fmla="*/ 256010 h 4546321"/>
            <a:gd name="connsiteX3" fmla="*/ 2553877 w 2553877"/>
            <a:gd name="connsiteY3" fmla="*/ 2590694 h 4546321"/>
            <a:gd name="connsiteX4" fmla="*/ 1383889 w 2553877"/>
            <a:gd name="connsiteY4" fmla="*/ 4544377 h 4546321"/>
            <a:gd name="connsiteX5" fmla="*/ 446734 w 2553877"/>
            <a:gd name="connsiteY5" fmla="*/ 2315527 h 4546321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</a:cxnLst>
          <a:rect l="l" t="t" r="r" b="b"/>
          <a:pathLst>
            <a:path w="2553877" h="4546321">
              <a:moveTo>
                <a:pt x="446734" y="2315527"/>
              </a:moveTo>
              <a:cubicBezTo>
                <a:pt x="227218" y="1609972"/>
                <a:pt x="-154663" y="682519"/>
                <a:pt x="66793" y="311044"/>
              </a:cubicBezTo>
              <a:cubicBezTo>
                <a:pt x="288249" y="-60431"/>
                <a:pt x="1064625" y="-123932"/>
                <a:pt x="1479139" y="256010"/>
              </a:cubicBezTo>
              <a:cubicBezTo>
                <a:pt x="1893653" y="635952"/>
                <a:pt x="2553877" y="1359734"/>
                <a:pt x="2553877" y="2590694"/>
              </a:cubicBezTo>
              <a:cubicBezTo>
                <a:pt x="2553877" y="3821654"/>
                <a:pt x="1735080" y="4590238"/>
                <a:pt x="1383889" y="4544377"/>
              </a:cubicBezTo>
              <a:cubicBezTo>
                <a:pt x="1032698" y="4498516"/>
                <a:pt x="666250" y="3021083"/>
                <a:pt x="446734" y="2315527"/>
              </a:cubicBezTo>
              <a:close/>
            </a:path>
          </a:pathLst>
        </a:custGeom>
        <a:noFill/>
        <a:ln w="19050" algn="ctr">
          <a:solidFill>
            <a:srgbClr val="00B0F0"/>
          </a:solidFill>
          <a:prstDash val="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49</xdr:col>
      <xdr:colOff>147536</xdr:colOff>
      <xdr:row>1</xdr:row>
      <xdr:rowOff>116351</xdr:rowOff>
    </xdr:from>
    <xdr:to>
      <xdr:col>76</xdr:col>
      <xdr:colOff>17046</xdr:colOff>
      <xdr:row>26</xdr:row>
      <xdr:rowOff>105886</xdr:rowOff>
    </xdr:to>
    <xdr:sp macro="" textlink="">
      <xdr:nvSpPr>
        <xdr:cNvPr id="194" name="円/楕円 193">
          <a:extLst>
            <a:ext uri="{FF2B5EF4-FFF2-40B4-BE49-F238E27FC236}">
              <a16:creationId xmlns:a16="http://schemas.microsoft.com/office/drawing/2014/main" id="{3B41A5C1-9346-4A37-B50D-69F803A0D893}"/>
            </a:ext>
          </a:extLst>
        </xdr:cNvPr>
        <xdr:cNvSpPr>
          <a:spLocks/>
        </xdr:cNvSpPr>
      </xdr:nvSpPr>
      <xdr:spPr bwMode="auto">
        <a:xfrm>
          <a:off x="9462986" y="306851"/>
          <a:ext cx="5013010" cy="4752035"/>
        </a:xfrm>
        <a:custGeom>
          <a:avLst/>
          <a:gdLst>
            <a:gd name="T0" fmla="*/ 432591 w 5335727"/>
            <a:gd name="T1" fmla="*/ 2707116 h 4635468"/>
            <a:gd name="T2" fmla="*/ 254056 w 5335727"/>
            <a:gd name="T3" fmla="*/ 386174 h 4635468"/>
            <a:gd name="T4" fmla="*/ 2829735 w 5335727"/>
            <a:gd name="T5" fmla="*/ 181244 h 4635468"/>
            <a:gd name="T6" fmla="*/ 5334000 w 5335727"/>
            <a:gd name="T7" fmla="*/ 2409254 h 4635468"/>
            <a:gd name="T8" fmla="*/ 3091588 w 5335727"/>
            <a:gd name="T9" fmla="*/ 4637263 h 4635468"/>
            <a:gd name="T10" fmla="*/ 432591 w 5335727"/>
            <a:gd name="T11" fmla="*/ 2707116 h 4635468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  <a:gd name="connsiteX0" fmla="*/ 432731 w 4912257"/>
            <a:gd name="connsiteY0" fmla="*/ 2706019 h 4636148"/>
            <a:gd name="connsiteX1" fmla="*/ 254138 w 4912257"/>
            <a:gd name="connsiteY1" fmla="*/ 386682 h 4636148"/>
            <a:gd name="connsiteX2" fmla="*/ 2830651 w 4912257"/>
            <a:gd name="connsiteY2" fmla="*/ 181894 h 4636148"/>
            <a:gd name="connsiteX3" fmla="*/ 4912257 w 4912257"/>
            <a:gd name="connsiteY3" fmla="*/ 2418939 h 4636148"/>
            <a:gd name="connsiteX4" fmla="*/ 3092589 w 4912257"/>
            <a:gd name="connsiteY4" fmla="*/ 4634832 h 4636148"/>
            <a:gd name="connsiteX5" fmla="*/ 432731 w 4912257"/>
            <a:gd name="connsiteY5" fmla="*/ 2706019 h 4636148"/>
            <a:gd name="connsiteX0" fmla="*/ 432731 w 4943847"/>
            <a:gd name="connsiteY0" fmla="*/ 2575934 h 4506062"/>
            <a:gd name="connsiteX1" fmla="*/ 254138 w 4943847"/>
            <a:gd name="connsiteY1" fmla="*/ 256597 h 4506062"/>
            <a:gd name="connsiteX2" fmla="*/ 2830651 w 4943847"/>
            <a:gd name="connsiteY2" fmla="*/ 51809 h 4506062"/>
            <a:gd name="connsiteX3" fmla="*/ 4166950 w 4943847"/>
            <a:gd name="connsiteY3" fmla="*/ 475639 h 4506062"/>
            <a:gd name="connsiteX4" fmla="*/ 4912257 w 4943847"/>
            <a:gd name="connsiteY4" fmla="*/ 2288854 h 4506062"/>
            <a:gd name="connsiteX5" fmla="*/ 3092589 w 4943847"/>
            <a:gd name="connsiteY5" fmla="*/ 4504747 h 4506062"/>
            <a:gd name="connsiteX6" fmla="*/ 432731 w 4943847"/>
            <a:gd name="connsiteY6" fmla="*/ 2575934 h 4506062"/>
            <a:gd name="connsiteX0" fmla="*/ 401341 w 4912457"/>
            <a:gd name="connsiteY0" fmla="*/ 2671307 h 4601435"/>
            <a:gd name="connsiteX1" fmla="*/ 222748 w 4912457"/>
            <a:gd name="connsiteY1" fmla="*/ 351970 h 4601435"/>
            <a:gd name="connsiteX2" fmla="*/ 2460484 w 4912457"/>
            <a:gd name="connsiteY2" fmla="*/ 30847 h 4601435"/>
            <a:gd name="connsiteX3" fmla="*/ 4135560 w 4912457"/>
            <a:gd name="connsiteY3" fmla="*/ 571012 h 4601435"/>
            <a:gd name="connsiteX4" fmla="*/ 4880867 w 4912457"/>
            <a:gd name="connsiteY4" fmla="*/ 2384227 h 4601435"/>
            <a:gd name="connsiteX5" fmla="*/ 3061199 w 4912457"/>
            <a:gd name="connsiteY5" fmla="*/ 4600120 h 4601435"/>
            <a:gd name="connsiteX6" fmla="*/ 401341 w 4912457"/>
            <a:gd name="connsiteY6" fmla="*/ 2671307 h 4601435"/>
            <a:gd name="connsiteX0" fmla="*/ 401341 w 4882148"/>
            <a:gd name="connsiteY0" fmla="*/ 2671307 h 4600146"/>
            <a:gd name="connsiteX1" fmla="*/ 222748 w 4882148"/>
            <a:gd name="connsiteY1" fmla="*/ 351970 h 4600146"/>
            <a:gd name="connsiteX2" fmla="*/ 2460484 w 4882148"/>
            <a:gd name="connsiteY2" fmla="*/ 30847 h 4600146"/>
            <a:gd name="connsiteX3" fmla="*/ 4135560 w 4882148"/>
            <a:gd name="connsiteY3" fmla="*/ 571012 h 4600146"/>
            <a:gd name="connsiteX4" fmla="*/ 4849106 w 4882148"/>
            <a:gd name="connsiteY4" fmla="*/ 2712083 h 4600146"/>
            <a:gd name="connsiteX5" fmla="*/ 3061199 w 4882148"/>
            <a:gd name="connsiteY5" fmla="*/ 4600120 h 4600146"/>
            <a:gd name="connsiteX6" fmla="*/ 401341 w 4882148"/>
            <a:gd name="connsiteY6" fmla="*/ 2671307 h 4600146"/>
            <a:gd name="connsiteX0" fmla="*/ 631214 w 5112021"/>
            <a:gd name="connsiteY0" fmla="*/ 2781379 h 4710218"/>
            <a:gd name="connsiteX1" fmla="*/ 145606 w 5112021"/>
            <a:gd name="connsiteY1" fmla="*/ 250522 h 4710218"/>
            <a:gd name="connsiteX2" fmla="*/ 2690357 w 5112021"/>
            <a:gd name="connsiteY2" fmla="*/ 140919 h 4710218"/>
            <a:gd name="connsiteX3" fmla="*/ 4365433 w 5112021"/>
            <a:gd name="connsiteY3" fmla="*/ 681084 h 4710218"/>
            <a:gd name="connsiteX4" fmla="*/ 5078979 w 5112021"/>
            <a:gd name="connsiteY4" fmla="*/ 2822155 h 4710218"/>
            <a:gd name="connsiteX5" fmla="*/ 3291072 w 5112021"/>
            <a:gd name="connsiteY5" fmla="*/ 4710192 h 4710218"/>
            <a:gd name="connsiteX6" fmla="*/ 631214 w 5112021"/>
            <a:gd name="connsiteY6" fmla="*/ 2781379 h 4710218"/>
            <a:gd name="connsiteX0" fmla="*/ 802579 w 5061064"/>
            <a:gd name="connsiteY0" fmla="*/ 2611773 h 4699847"/>
            <a:gd name="connsiteX1" fmla="*/ 94649 w 5061064"/>
            <a:gd name="connsiteY1" fmla="*/ 239556 h 4699847"/>
            <a:gd name="connsiteX2" fmla="*/ 2639400 w 5061064"/>
            <a:gd name="connsiteY2" fmla="*/ 129953 h 4699847"/>
            <a:gd name="connsiteX3" fmla="*/ 4314476 w 5061064"/>
            <a:gd name="connsiteY3" fmla="*/ 670118 h 4699847"/>
            <a:gd name="connsiteX4" fmla="*/ 5028022 w 5061064"/>
            <a:gd name="connsiteY4" fmla="*/ 2811189 h 4699847"/>
            <a:gd name="connsiteX5" fmla="*/ 3240115 w 5061064"/>
            <a:gd name="connsiteY5" fmla="*/ 4699226 h 4699847"/>
            <a:gd name="connsiteX6" fmla="*/ 802579 w 5061064"/>
            <a:gd name="connsiteY6" fmla="*/ 2611773 h 4699847"/>
            <a:gd name="connsiteX0" fmla="*/ 850479 w 5108964"/>
            <a:gd name="connsiteY0" fmla="*/ 2639739 h 4727814"/>
            <a:gd name="connsiteX1" fmla="*/ 89616 w 5108964"/>
            <a:gd name="connsiteY1" fmla="*/ 225219 h 4727814"/>
            <a:gd name="connsiteX2" fmla="*/ 2687300 w 5108964"/>
            <a:gd name="connsiteY2" fmla="*/ 157919 h 4727814"/>
            <a:gd name="connsiteX3" fmla="*/ 4362376 w 5108964"/>
            <a:gd name="connsiteY3" fmla="*/ 698084 h 4727814"/>
            <a:gd name="connsiteX4" fmla="*/ 5075922 w 5108964"/>
            <a:gd name="connsiteY4" fmla="*/ 2839155 h 4727814"/>
            <a:gd name="connsiteX5" fmla="*/ 3288015 w 5108964"/>
            <a:gd name="connsiteY5" fmla="*/ 4727192 h 4727814"/>
            <a:gd name="connsiteX6" fmla="*/ 850479 w 5108964"/>
            <a:gd name="connsiteY6" fmla="*/ 2639739 h 4727814"/>
            <a:gd name="connsiteX0" fmla="*/ 850479 w 5028853"/>
            <a:gd name="connsiteY0" fmla="*/ 2639739 h 4729640"/>
            <a:gd name="connsiteX1" fmla="*/ 89616 w 5028853"/>
            <a:gd name="connsiteY1" fmla="*/ 225219 h 4729640"/>
            <a:gd name="connsiteX2" fmla="*/ 2687300 w 5028853"/>
            <a:gd name="connsiteY2" fmla="*/ 157919 h 4729640"/>
            <a:gd name="connsiteX3" fmla="*/ 4362376 w 5028853"/>
            <a:gd name="connsiteY3" fmla="*/ 698084 h 4729640"/>
            <a:gd name="connsiteX4" fmla="*/ 4991228 w 5028853"/>
            <a:gd name="connsiteY4" fmla="*/ 2225747 h 4729640"/>
            <a:gd name="connsiteX5" fmla="*/ 3288015 w 5028853"/>
            <a:gd name="connsiteY5" fmla="*/ 4727192 h 4729640"/>
            <a:gd name="connsiteX6" fmla="*/ 850479 w 5028853"/>
            <a:gd name="connsiteY6" fmla="*/ 2639739 h 4729640"/>
            <a:gd name="connsiteX0" fmla="*/ 850479 w 5014633"/>
            <a:gd name="connsiteY0" fmla="*/ 2639739 h 4748751"/>
            <a:gd name="connsiteX1" fmla="*/ 89616 w 5014633"/>
            <a:gd name="connsiteY1" fmla="*/ 225219 h 4748751"/>
            <a:gd name="connsiteX2" fmla="*/ 2687300 w 5014633"/>
            <a:gd name="connsiteY2" fmla="*/ 157919 h 4748751"/>
            <a:gd name="connsiteX3" fmla="*/ 4362376 w 5014633"/>
            <a:gd name="connsiteY3" fmla="*/ 698084 h 4748751"/>
            <a:gd name="connsiteX4" fmla="*/ 4991228 w 5014633"/>
            <a:gd name="connsiteY4" fmla="*/ 2225747 h 4748751"/>
            <a:gd name="connsiteX5" fmla="*/ 4764673 w 5014633"/>
            <a:gd name="connsiteY5" fmla="*/ 3638216 h 4748751"/>
            <a:gd name="connsiteX6" fmla="*/ 3288015 w 5014633"/>
            <a:gd name="connsiteY6" fmla="*/ 4727192 h 4748751"/>
            <a:gd name="connsiteX7" fmla="*/ 850479 w 5014633"/>
            <a:gd name="connsiteY7" fmla="*/ 2639739 h 4748751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</a:cxnLst>
          <a:rect l="l" t="t" r="r" b="b"/>
          <a:pathLst>
            <a:path w="5014633" h="4748751">
              <a:moveTo>
                <a:pt x="850479" y="2639739"/>
              </a:moveTo>
              <a:cubicBezTo>
                <a:pt x="317413" y="1889410"/>
                <a:pt x="-216521" y="638856"/>
                <a:pt x="89616" y="225219"/>
              </a:cubicBezTo>
              <a:cubicBezTo>
                <a:pt x="395753" y="-188418"/>
                <a:pt x="1975173" y="79108"/>
                <a:pt x="2687300" y="157919"/>
              </a:cubicBezTo>
              <a:cubicBezTo>
                <a:pt x="3399427" y="236730"/>
                <a:pt x="4015442" y="325243"/>
                <a:pt x="4362376" y="698084"/>
              </a:cubicBezTo>
              <a:cubicBezTo>
                <a:pt x="4709310" y="1070925"/>
                <a:pt x="4948881" y="1813283"/>
                <a:pt x="4991228" y="2225747"/>
              </a:cubicBezTo>
              <a:cubicBezTo>
                <a:pt x="5033575" y="2638211"/>
                <a:pt x="5048542" y="3221308"/>
                <a:pt x="4764673" y="3638216"/>
              </a:cubicBezTo>
              <a:cubicBezTo>
                <a:pt x="4480804" y="4055124"/>
                <a:pt x="3940381" y="4893605"/>
                <a:pt x="3288015" y="4727192"/>
              </a:cubicBezTo>
              <a:cubicBezTo>
                <a:pt x="2635649" y="4560779"/>
                <a:pt x="1383545" y="3390068"/>
                <a:pt x="850479" y="2639739"/>
              </a:cubicBezTo>
              <a:close/>
            </a:path>
          </a:pathLst>
        </a:custGeom>
        <a:noFill/>
        <a:ln w="19050" cap="flat" cmpd="sng" algn="ctr">
          <a:solidFill>
            <a:srgbClr val="00B0F0"/>
          </a:solidFill>
          <a:prstDash val="dashDot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104</xdr:col>
      <xdr:colOff>21167</xdr:colOff>
      <xdr:row>21</xdr:row>
      <xdr:rowOff>10583</xdr:rowOff>
    </xdr:from>
    <xdr:to>
      <xdr:col>141</xdr:col>
      <xdr:colOff>42334</xdr:colOff>
      <xdr:row>28</xdr:row>
      <xdr:rowOff>31750</xdr:rowOff>
    </xdr:to>
    <xdr:cxnSp macro="">
      <xdr:nvCxnSpPr>
        <xdr:cNvPr id="195" name="直線矢印コネクタ 194">
          <a:extLst>
            <a:ext uri="{FF2B5EF4-FFF2-40B4-BE49-F238E27FC236}">
              <a16:creationId xmlns:a16="http://schemas.microsoft.com/office/drawing/2014/main" id="{DF9E3374-A364-4465-8E88-F5B54B383141}"/>
            </a:ext>
          </a:extLst>
        </xdr:cNvPr>
        <xdr:cNvCxnSpPr/>
      </xdr:nvCxnSpPr>
      <xdr:spPr bwMode="auto">
        <a:xfrm>
          <a:off x="19814117" y="4011083"/>
          <a:ext cx="7155392" cy="1354667"/>
        </a:xfrm>
        <a:prstGeom prst="straightConnector1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1905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234</xdr:col>
      <xdr:colOff>195942</xdr:colOff>
      <xdr:row>25</xdr:row>
      <xdr:rowOff>46945</xdr:rowOff>
    </xdr:from>
    <xdr:to>
      <xdr:col>247</xdr:col>
      <xdr:colOff>663840</xdr:colOff>
      <xdr:row>63</xdr:row>
      <xdr:rowOff>37722</xdr:rowOff>
    </xdr:to>
    <xdr:graphicFrame macro="">
      <xdr:nvGraphicFramePr>
        <xdr:cNvPr id="196" name="グラフ 195">
          <a:extLst>
            <a:ext uri="{FF2B5EF4-FFF2-40B4-BE49-F238E27FC236}">
              <a16:creationId xmlns:a16="http://schemas.microsoft.com/office/drawing/2014/main" id="{680E42F9-BD84-49FA-B8EB-884D2C0D8F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23</xdr:col>
      <xdr:colOff>153458</xdr:colOff>
      <xdr:row>11</xdr:row>
      <xdr:rowOff>0</xdr:rowOff>
    </xdr:from>
    <xdr:to>
      <xdr:col>35</xdr:col>
      <xdr:colOff>153458</xdr:colOff>
      <xdr:row>11</xdr:row>
      <xdr:rowOff>0</xdr:rowOff>
    </xdr:to>
    <xdr:sp macro="" textlink="">
      <xdr:nvSpPr>
        <xdr:cNvPr id="197" name="Line 4845">
          <a:extLst>
            <a:ext uri="{FF2B5EF4-FFF2-40B4-BE49-F238E27FC236}">
              <a16:creationId xmlns:a16="http://schemas.microsoft.com/office/drawing/2014/main" id="{E4AC8E9B-0AD9-41F7-B3E7-BDF63DBEFDC2}"/>
            </a:ext>
          </a:extLst>
        </xdr:cNvPr>
        <xdr:cNvSpPr>
          <a:spLocks noChangeShapeType="1"/>
        </xdr:cNvSpPr>
      </xdr:nvSpPr>
      <xdr:spPr bwMode="auto">
        <a:xfrm>
          <a:off x="4525433" y="2095500"/>
          <a:ext cx="228600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48</xdr:col>
      <xdr:colOff>41276</xdr:colOff>
      <xdr:row>4</xdr:row>
      <xdr:rowOff>14817</xdr:rowOff>
    </xdr:from>
    <xdr:to>
      <xdr:col>50</xdr:col>
      <xdr:colOff>21167</xdr:colOff>
      <xdr:row>4</xdr:row>
      <xdr:rowOff>14817</xdr:rowOff>
    </xdr:to>
    <xdr:sp macro="" textlink="">
      <xdr:nvSpPr>
        <xdr:cNvPr id="198" name="Line 4845">
          <a:extLst>
            <a:ext uri="{FF2B5EF4-FFF2-40B4-BE49-F238E27FC236}">
              <a16:creationId xmlns:a16="http://schemas.microsoft.com/office/drawing/2014/main" id="{863D59DB-2B40-4B46-BEEF-D72DD085C044}"/>
            </a:ext>
          </a:extLst>
        </xdr:cNvPr>
        <xdr:cNvSpPr>
          <a:spLocks noChangeShapeType="1"/>
        </xdr:cNvSpPr>
      </xdr:nvSpPr>
      <xdr:spPr bwMode="auto">
        <a:xfrm>
          <a:off x="9166226" y="776817"/>
          <a:ext cx="360891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55</xdr:col>
      <xdr:colOff>34926</xdr:colOff>
      <xdr:row>4</xdr:row>
      <xdr:rowOff>8467</xdr:rowOff>
    </xdr:from>
    <xdr:to>
      <xdr:col>56</xdr:col>
      <xdr:colOff>132426</xdr:colOff>
      <xdr:row>4</xdr:row>
      <xdr:rowOff>8467</xdr:rowOff>
    </xdr:to>
    <xdr:sp macro="" textlink="">
      <xdr:nvSpPr>
        <xdr:cNvPr id="199" name="Line 4845">
          <a:extLst>
            <a:ext uri="{FF2B5EF4-FFF2-40B4-BE49-F238E27FC236}">
              <a16:creationId xmlns:a16="http://schemas.microsoft.com/office/drawing/2014/main" id="{9B07F866-FA3A-40DC-8106-B4788C781AE1}"/>
            </a:ext>
          </a:extLst>
        </xdr:cNvPr>
        <xdr:cNvSpPr>
          <a:spLocks noChangeShapeType="1"/>
        </xdr:cNvSpPr>
      </xdr:nvSpPr>
      <xdr:spPr bwMode="auto">
        <a:xfrm>
          <a:off x="10493376" y="770467"/>
          <a:ext cx="28800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62</xdr:col>
      <xdr:colOff>3176</xdr:colOff>
      <xdr:row>4</xdr:row>
      <xdr:rowOff>8467</xdr:rowOff>
    </xdr:from>
    <xdr:to>
      <xdr:col>63</xdr:col>
      <xdr:colOff>173567</xdr:colOff>
      <xdr:row>4</xdr:row>
      <xdr:rowOff>8467</xdr:rowOff>
    </xdr:to>
    <xdr:sp macro="" textlink="">
      <xdr:nvSpPr>
        <xdr:cNvPr id="200" name="Line 4845">
          <a:extLst>
            <a:ext uri="{FF2B5EF4-FFF2-40B4-BE49-F238E27FC236}">
              <a16:creationId xmlns:a16="http://schemas.microsoft.com/office/drawing/2014/main" id="{07E02985-D5F5-4C85-9437-AD16C7ABA6E1}"/>
            </a:ext>
          </a:extLst>
        </xdr:cNvPr>
        <xdr:cNvSpPr>
          <a:spLocks noChangeShapeType="1"/>
        </xdr:cNvSpPr>
      </xdr:nvSpPr>
      <xdr:spPr bwMode="auto">
        <a:xfrm>
          <a:off x="11795126" y="770467"/>
          <a:ext cx="360891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23</xdr:col>
      <xdr:colOff>143933</xdr:colOff>
      <xdr:row>8</xdr:row>
      <xdr:rowOff>0</xdr:rowOff>
    </xdr:from>
    <xdr:to>
      <xdr:col>25</xdr:col>
      <xdr:colOff>20108</xdr:colOff>
      <xdr:row>10</xdr:row>
      <xdr:rowOff>171450</xdr:rowOff>
    </xdr:to>
    <xdr:sp macro="" textlink="">
      <xdr:nvSpPr>
        <xdr:cNvPr id="201" name="Freeform 3821">
          <a:extLst>
            <a:ext uri="{FF2B5EF4-FFF2-40B4-BE49-F238E27FC236}">
              <a16:creationId xmlns:a16="http://schemas.microsoft.com/office/drawing/2014/main" id="{54631B2B-4F67-4C7E-A55B-610E0B353239}"/>
            </a:ext>
          </a:extLst>
        </xdr:cNvPr>
        <xdr:cNvSpPr>
          <a:spLocks/>
        </xdr:cNvSpPr>
      </xdr:nvSpPr>
      <xdr:spPr bwMode="auto">
        <a:xfrm>
          <a:off x="4515908" y="1524000"/>
          <a:ext cx="257175" cy="552450"/>
        </a:xfrm>
        <a:custGeom>
          <a:avLst/>
          <a:gdLst>
            <a:gd name="T0" fmla="*/ 0 w 160"/>
            <a:gd name="T1" fmla="*/ 0 h 84"/>
            <a:gd name="T2" fmla="*/ 2147483647 w 160"/>
            <a:gd name="T3" fmla="*/ 0 h 84"/>
            <a:gd name="T4" fmla="*/ 2147483647 w 160"/>
            <a:gd name="T5" fmla="*/ 2147483647 h 84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160" h="84">
              <a:moveTo>
                <a:pt x="0" y="0"/>
              </a:moveTo>
              <a:lnTo>
                <a:pt x="160" y="0"/>
              </a:lnTo>
              <a:lnTo>
                <a:pt x="160" y="84"/>
              </a:lnTo>
            </a:path>
          </a:pathLst>
        </a:custGeom>
        <a:noFill/>
        <a:ln w="19050" cap="flat" cmpd="sng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69</xdr:col>
      <xdr:colOff>0</xdr:colOff>
      <xdr:row>4</xdr:row>
      <xdr:rowOff>14816</xdr:rowOff>
    </xdr:from>
    <xdr:to>
      <xdr:col>71</xdr:col>
      <xdr:colOff>42334</xdr:colOff>
      <xdr:row>11</xdr:row>
      <xdr:rowOff>158749</xdr:rowOff>
    </xdr:to>
    <xdr:sp macro="" textlink="">
      <xdr:nvSpPr>
        <xdr:cNvPr id="202" name="Freeform 3821">
          <a:extLst>
            <a:ext uri="{FF2B5EF4-FFF2-40B4-BE49-F238E27FC236}">
              <a16:creationId xmlns:a16="http://schemas.microsoft.com/office/drawing/2014/main" id="{D5E4649C-683F-4898-AAD8-0C56DFA30D8A}"/>
            </a:ext>
          </a:extLst>
        </xdr:cNvPr>
        <xdr:cNvSpPr>
          <a:spLocks/>
        </xdr:cNvSpPr>
      </xdr:nvSpPr>
      <xdr:spPr bwMode="auto">
        <a:xfrm>
          <a:off x="13125450" y="776816"/>
          <a:ext cx="423334" cy="1477433"/>
        </a:xfrm>
        <a:custGeom>
          <a:avLst/>
          <a:gdLst>
            <a:gd name="T0" fmla="*/ 0 w 160"/>
            <a:gd name="T1" fmla="*/ 0 h 84"/>
            <a:gd name="T2" fmla="*/ 2147483647 w 160"/>
            <a:gd name="T3" fmla="*/ 0 h 84"/>
            <a:gd name="T4" fmla="*/ 2147483647 w 160"/>
            <a:gd name="T5" fmla="*/ 2147483647 h 84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160" h="84">
              <a:moveTo>
                <a:pt x="0" y="0"/>
              </a:moveTo>
              <a:lnTo>
                <a:pt x="160" y="0"/>
              </a:lnTo>
              <a:lnTo>
                <a:pt x="160" y="84"/>
              </a:lnTo>
            </a:path>
          </a:pathLst>
        </a:custGeom>
        <a:noFill/>
        <a:ln w="19050" cap="flat" cmpd="sng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48</xdr:col>
      <xdr:colOff>171454</xdr:colOff>
      <xdr:row>3</xdr:row>
      <xdr:rowOff>153459</xdr:rowOff>
    </xdr:from>
    <xdr:to>
      <xdr:col>49</xdr:col>
      <xdr:colOff>66679</xdr:colOff>
      <xdr:row>4</xdr:row>
      <xdr:rowOff>48684</xdr:rowOff>
    </xdr:to>
    <xdr:sp macro="" textlink="">
      <xdr:nvSpPr>
        <xdr:cNvPr id="203" name="Oval 4848">
          <a:extLst>
            <a:ext uri="{FF2B5EF4-FFF2-40B4-BE49-F238E27FC236}">
              <a16:creationId xmlns:a16="http://schemas.microsoft.com/office/drawing/2014/main" id="{614043CE-6420-4D28-8369-8E63B567C2B9}"/>
            </a:ext>
          </a:extLst>
        </xdr:cNvPr>
        <xdr:cNvSpPr>
          <a:spLocks noChangeArrowheads="1"/>
        </xdr:cNvSpPr>
      </xdr:nvSpPr>
      <xdr:spPr bwMode="auto">
        <a:xfrm>
          <a:off x="9296404" y="724959"/>
          <a:ext cx="85725" cy="8572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49</xdr:col>
      <xdr:colOff>11642</xdr:colOff>
      <xdr:row>11</xdr:row>
      <xdr:rowOff>0</xdr:rowOff>
    </xdr:from>
    <xdr:to>
      <xdr:col>49</xdr:col>
      <xdr:colOff>11642</xdr:colOff>
      <xdr:row>13</xdr:row>
      <xdr:rowOff>114300</xdr:rowOff>
    </xdr:to>
    <xdr:sp macro="" textlink="">
      <xdr:nvSpPr>
        <xdr:cNvPr id="204" name="Line 3986">
          <a:extLst>
            <a:ext uri="{FF2B5EF4-FFF2-40B4-BE49-F238E27FC236}">
              <a16:creationId xmlns:a16="http://schemas.microsoft.com/office/drawing/2014/main" id="{46DA98B9-65ED-43FA-9FF9-FF91B1BABA35}"/>
            </a:ext>
          </a:extLst>
        </xdr:cNvPr>
        <xdr:cNvSpPr>
          <a:spLocks noChangeShapeType="1"/>
        </xdr:cNvSpPr>
      </xdr:nvSpPr>
      <xdr:spPr bwMode="auto">
        <a:xfrm flipV="1">
          <a:off x="9327092" y="2095500"/>
          <a:ext cx="0" cy="49530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49</xdr:col>
      <xdr:colOff>15876</xdr:colOff>
      <xdr:row>3</xdr:row>
      <xdr:rowOff>184150</xdr:rowOff>
    </xdr:from>
    <xdr:to>
      <xdr:col>49</xdr:col>
      <xdr:colOff>15876</xdr:colOff>
      <xdr:row>5</xdr:row>
      <xdr:rowOff>163150</xdr:rowOff>
    </xdr:to>
    <xdr:sp macro="" textlink="">
      <xdr:nvSpPr>
        <xdr:cNvPr id="205" name="Line 3986">
          <a:extLst>
            <a:ext uri="{FF2B5EF4-FFF2-40B4-BE49-F238E27FC236}">
              <a16:creationId xmlns:a16="http://schemas.microsoft.com/office/drawing/2014/main" id="{54C5D91F-1291-42FB-B8FC-0BCF5755B77A}"/>
            </a:ext>
          </a:extLst>
        </xdr:cNvPr>
        <xdr:cNvSpPr>
          <a:spLocks noChangeShapeType="1"/>
        </xdr:cNvSpPr>
      </xdr:nvSpPr>
      <xdr:spPr bwMode="auto">
        <a:xfrm flipV="1">
          <a:off x="9331326" y="755650"/>
          <a:ext cx="0" cy="36000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62</xdr:col>
      <xdr:colOff>157693</xdr:colOff>
      <xdr:row>4</xdr:row>
      <xdr:rowOff>19051</xdr:rowOff>
    </xdr:from>
    <xdr:to>
      <xdr:col>62</xdr:col>
      <xdr:colOff>157693</xdr:colOff>
      <xdr:row>5</xdr:row>
      <xdr:rowOff>152551</xdr:rowOff>
    </xdr:to>
    <xdr:sp macro="" textlink="">
      <xdr:nvSpPr>
        <xdr:cNvPr id="206" name="Line 3986">
          <a:extLst>
            <a:ext uri="{FF2B5EF4-FFF2-40B4-BE49-F238E27FC236}">
              <a16:creationId xmlns:a16="http://schemas.microsoft.com/office/drawing/2014/main" id="{0E4BBB06-CDDF-44C8-9C30-2BC4BC8F67EB}"/>
            </a:ext>
          </a:extLst>
        </xdr:cNvPr>
        <xdr:cNvSpPr>
          <a:spLocks noChangeShapeType="1"/>
        </xdr:cNvSpPr>
      </xdr:nvSpPr>
      <xdr:spPr bwMode="auto">
        <a:xfrm flipV="1">
          <a:off x="11949643" y="781051"/>
          <a:ext cx="0" cy="32400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40</xdr:col>
      <xdr:colOff>189442</xdr:colOff>
      <xdr:row>27</xdr:row>
      <xdr:rowOff>14817</xdr:rowOff>
    </xdr:from>
    <xdr:to>
      <xdr:col>77</xdr:col>
      <xdr:colOff>34925</xdr:colOff>
      <xdr:row>27</xdr:row>
      <xdr:rowOff>14817</xdr:rowOff>
    </xdr:to>
    <xdr:sp macro="" textlink="">
      <xdr:nvSpPr>
        <xdr:cNvPr id="207" name="Line 3849">
          <a:extLst>
            <a:ext uri="{FF2B5EF4-FFF2-40B4-BE49-F238E27FC236}">
              <a16:creationId xmlns:a16="http://schemas.microsoft.com/office/drawing/2014/main" id="{A81982F2-2B5A-440B-ACA7-A7433D3F12F3}"/>
            </a:ext>
          </a:extLst>
        </xdr:cNvPr>
        <xdr:cNvSpPr>
          <a:spLocks noChangeShapeType="1"/>
        </xdr:cNvSpPr>
      </xdr:nvSpPr>
      <xdr:spPr bwMode="auto">
        <a:xfrm>
          <a:off x="7790392" y="5158317"/>
          <a:ext cx="6893983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62</xdr:col>
      <xdr:colOff>110068</xdr:colOff>
      <xdr:row>26</xdr:row>
      <xdr:rowOff>164042</xdr:rowOff>
    </xdr:from>
    <xdr:to>
      <xdr:col>63</xdr:col>
      <xdr:colOff>5293</xdr:colOff>
      <xdr:row>27</xdr:row>
      <xdr:rowOff>59267</xdr:rowOff>
    </xdr:to>
    <xdr:sp macro="" textlink="">
      <xdr:nvSpPr>
        <xdr:cNvPr id="208" name="Oval 4000">
          <a:extLst>
            <a:ext uri="{FF2B5EF4-FFF2-40B4-BE49-F238E27FC236}">
              <a16:creationId xmlns:a16="http://schemas.microsoft.com/office/drawing/2014/main" id="{88323BBE-D7E4-4ECC-B528-58801AD05BDB}"/>
            </a:ext>
          </a:extLst>
        </xdr:cNvPr>
        <xdr:cNvSpPr>
          <a:spLocks noChangeArrowheads="1"/>
        </xdr:cNvSpPr>
      </xdr:nvSpPr>
      <xdr:spPr bwMode="auto">
        <a:xfrm>
          <a:off x="11902018" y="5117042"/>
          <a:ext cx="85725" cy="8572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70</xdr:col>
      <xdr:colOff>188386</xdr:colOff>
      <xdr:row>3</xdr:row>
      <xdr:rowOff>157703</xdr:rowOff>
    </xdr:from>
    <xdr:to>
      <xdr:col>71</xdr:col>
      <xdr:colOff>83611</xdr:colOff>
      <xdr:row>4</xdr:row>
      <xdr:rowOff>52928</xdr:rowOff>
    </xdr:to>
    <xdr:sp macro="" textlink="">
      <xdr:nvSpPr>
        <xdr:cNvPr id="209" name="Oval 4000">
          <a:extLst>
            <a:ext uri="{FF2B5EF4-FFF2-40B4-BE49-F238E27FC236}">
              <a16:creationId xmlns:a16="http://schemas.microsoft.com/office/drawing/2014/main" id="{A9AEE9F5-C4DB-4D2C-ABE3-0C8F3B43EC24}"/>
            </a:ext>
          </a:extLst>
        </xdr:cNvPr>
        <xdr:cNvSpPr>
          <a:spLocks noChangeArrowheads="1"/>
        </xdr:cNvSpPr>
      </xdr:nvSpPr>
      <xdr:spPr bwMode="auto">
        <a:xfrm>
          <a:off x="13504336" y="729203"/>
          <a:ext cx="85725" cy="8572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14</xdr:col>
      <xdr:colOff>182033</xdr:colOff>
      <xdr:row>8</xdr:row>
      <xdr:rowOff>0</xdr:rowOff>
    </xdr:from>
    <xdr:to>
      <xdr:col>17</xdr:col>
      <xdr:colOff>77258</xdr:colOff>
      <xdr:row>8</xdr:row>
      <xdr:rowOff>0</xdr:rowOff>
    </xdr:to>
    <xdr:sp macro="" textlink="">
      <xdr:nvSpPr>
        <xdr:cNvPr id="210" name="Line 2250">
          <a:extLst>
            <a:ext uri="{FF2B5EF4-FFF2-40B4-BE49-F238E27FC236}">
              <a16:creationId xmlns:a16="http://schemas.microsoft.com/office/drawing/2014/main" id="{8275C16D-9C8E-4C7E-B417-FDBC27A71E13}"/>
            </a:ext>
          </a:extLst>
        </xdr:cNvPr>
        <xdr:cNvSpPr>
          <a:spLocks noChangeShapeType="1"/>
        </xdr:cNvSpPr>
      </xdr:nvSpPr>
      <xdr:spPr bwMode="auto">
        <a:xfrm>
          <a:off x="2839508" y="1524000"/>
          <a:ext cx="466725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40</xdr:col>
      <xdr:colOff>101601</xdr:colOff>
      <xdr:row>4</xdr:row>
      <xdr:rowOff>4234</xdr:rowOff>
    </xdr:from>
    <xdr:to>
      <xdr:col>42</xdr:col>
      <xdr:colOff>187326</xdr:colOff>
      <xdr:row>4</xdr:row>
      <xdr:rowOff>4234</xdr:rowOff>
    </xdr:to>
    <xdr:sp macro="" textlink="">
      <xdr:nvSpPr>
        <xdr:cNvPr id="211" name="Line 2250">
          <a:extLst>
            <a:ext uri="{FF2B5EF4-FFF2-40B4-BE49-F238E27FC236}">
              <a16:creationId xmlns:a16="http://schemas.microsoft.com/office/drawing/2014/main" id="{515EF332-1D5F-4037-BA45-0F836E142EFB}"/>
            </a:ext>
          </a:extLst>
        </xdr:cNvPr>
        <xdr:cNvSpPr>
          <a:spLocks noChangeShapeType="1"/>
        </xdr:cNvSpPr>
      </xdr:nvSpPr>
      <xdr:spPr bwMode="auto">
        <a:xfrm>
          <a:off x="7702551" y="766234"/>
          <a:ext cx="466725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71</xdr:col>
      <xdr:colOff>42334</xdr:colOff>
      <xdr:row>4</xdr:row>
      <xdr:rowOff>19050</xdr:rowOff>
    </xdr:from>
    <xdr:to>
      <xdr:col>76</xdr:col>
      <xdr:colOff>95250</xdr:colOff>
      <xdr:row>4</xdr:row>
      <xdr:rowOff>19050</xdr:rowOff>
    </xdr:to>
    <xdr:sp macro="" textlink="">
      <xdr:nvSpPr>
        <xdr:cNvPr id="212" name="Line 2250">
          <a:extLst>
            <a:ext uri="{FF2B5EF4-FFF2-40B4-BE49-F238E27FC236}">
              <a16:creationId xmlns:a16="http://schemas.microsoft.com/office/drawing/2014/main" id="{77E5E634-0208-4A1A-8015-BC2F0768E757}"/>
            </a:ext>
          </a:extLst>
        </xdr:cNvPr>
        <xdr:cNvSpPr>
          <a:spLocks noChangeShapeType="1"/>
        </xdr:cNvSpPr>
      </xdr:nvSpPr>
      <xdr:spPr bwMode="auto">
        <a:xfrm>
          <a:off x="13548784" y="781050"/>
          <a:ext cx="1005416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27</xdr:row>
      <xdr:rowOff>0</xdr:rowOff>
    </xdr:from>
    <xdr:to>
      <xdr:col>36</xdr:col>
      <xdr:colOff>104775</xdr:colOff>
      <xdr:row>27</xdr:row>
      <xdr:rowOff>0</xdr:rowOff>
    </xdr:to>
    <xdr:sp macro="" textlink="">
      <xdr:nvSpPr>
        <xdr:cNvPr id="2" name="Line 3849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ShapeType="1"/>
        </xdr:cNvSpPr>
      </xdr:nvSpPr>
      <xdr:spPr bwMode="auto">
        <a:xfrm>
          <a:off x="47625" y="5143500"/>
          <a:ext cx="689610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29</xdr:col>
      <xdr:colOff>66675</xdr:colOff>
      <xdr:row>20</xdr:row>
      <xdr:rowOff>95250</xdr:rowOff>
    </xdr:from>
    <xdr:to>
      <xdr:col>30</xdr:col>
      <xdr:colOff>85725</xdr:colOff>
      <xdr:row>22</xdr:row>
      <xdr:rowOff>161925</xdr:rowOff>
    </xdr:to>
    <xdr:grpSp>
      <xdr:nvGrpSpPr>
        <xdr:cNvPr id="3" name="Group 4836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pSpPr>
          <a:grpSpLocks/>
        </xdr:cNvGrpSpPr>
      </xdr:nvGrpSpPr>
      <xdr:grpSpPr bwMode="auto">
        <a:xfrm>
          <a:off x="5591175" y="3905250"/>
          <a:ext cx="209550" cy="447675"/>
          <a:chOff x="1788" y="432"/>
          <a:chExt cx="22" cy="47"/>
        </a:xfrm>
      </xdr:grpSpPr>
      <xdr:sp macro="" textlink="">
        <xdr:nvSpPr>
          <xdr:cNvPr id="4" name="Line 4837">
            <a:extLst>
              <a:ext uri="{FF2B5EF4-FFF2-40B4-BE49-F238E27FC236}">
                <a16:creationId xmlns:a16="http://schemas.microsoft.com/office/drawing/2014/main" id="{00000000-0008-0000-0100-000004000000}"/>
              </a:ext>
            </a:extLst>
          </xdr:cNvPr>
          <xdr:cNvSpPr>
            <a:spLocks noChangeAspect="1" noChangeShapeType="1"/>
          </xdr:cNvSpPr>
        </xdr:nvSpPr>
        <xdr:spPr bwMode="auto">
          <a:xfrm rot="10800000">
            <a:off x="1799" y="445"/>
            <a:ext cx="11" cy="3"/>
          </a:xfrm>
          <a:prstGeom prst="line">
            <a:avLst/>
          </a:prstGeom>
          <a:noFill/>
          <a:ln w="190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" name="Line 4838">
            <a:extLst>
              <a:ext uri="{FF2B5EF4-FFF2-40B4-BE49-F238E27FC236}">
                <a16:creationId xmlns:a16="http://schemas.microsoft.com/office/drawing/2014/main" id="{00000000-0008-0000-0100-000005000000}"/>
              </a:ext>
            </a:extLst>
          </xdr:cNvPr>
          <xdr:cNvSpPr>
            <a:spLocks noChangeAspect="1" noChangeShapeType="1"/>
          </xdr:cNvSpPr>
        </xdr:nvSpPr>
        <xdr:spPr bwMode="auto">
          <a:xfrm rot="10800000" flipV="1">
            <a:off x="1788" y="448"/>
            <a:ext cx="22" cy="6"/>
          </a:xfrm>
          <a:prstGeom prst="line">
            <a:avLst/>
          </a:prstGeom>
          <a:noFill/>
          <a:ln w="190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" name="Line 4839">
            <a:extLst>
              <a:ext uri="{FF2B5EF4-FFF2-40B4-BE49-F238E27FC236}">
                <a16:creationId xmlns:a16="http://schemas.microsoft.com/office/drawing/2014/main" id="{00000000-0008-0000-0100-000006000000}"/>
              </a:ext>
            </a:extLst>
          </xdr:cNvPr>
          <xdr:cNvSpPr>
            <a:spLocks noChangeAspect="1" noChangeShapeType="1"/>
          </xdr:cNvSpPr>
        </xdr:nvSpPr>
        <xdr:spPr bwMode="auto">
          <a:xfrm rot="10800000">
            <a:off x="1788" y="454"/>
            <a:ext cx="22" cy="5"/>
          </a:xfrm>
          <a:prstGeom prst="line">
            <a:avLst/>
          </a:prstGeom>
          <a:noFill/>
          <a:ln w="190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" name="Line 4840">
            <a:extLst>
              <a:ext uri="{FF2B5EF4-FFF2-40B4-BE49-F238E27FC236}">
                <a16:creationId xmlns:a16="http://schemas.microsoft.com/office/drawing/2014/main" id="{00000000-0008-0000-0100-000007000000}"/>
              </a:ext>
            </a:extLst>
          </xdr:cNvPr>
          <xdr:cNvSpPr>
            <a:spLocks noChangeAspect="1" noChangeShapeType="1"/>
          </xdr:cNvSpPr>
        </xdr:nvSpPr>
        <xdr:spPr bwMode="auto">
          <a:xfrm rot="10800000" flipV="1">
            <a:off x="1788" y="459"/>
            <a:ext cx="22" cy="6"/>
          </a:xfrm>
          <a:prstGeom prst="line">
            <a:avLst/>
          </a:prstGeom>
          <a:noFill/>
          <a:ln w="190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" name="Line 4841">
            <a:extLst>
              <a:ext uri="{FF2B5EF4-FFF2-40B4-BE49-F238E27FC236}">
                <a16:creationId xmlns:a16="http://schemas.microsoft.com/office/drawing/2014/main" id="{00000000-0008-0000-0100-000008000000}"/>
              </a:ext>
            </a:extLst>
          </xdr:cNvPr>
          <xdr:cNvSpPr>
            <a:spLocks noChangeAspect="1" noChangeShapeType="1"/>
          </xdr:cNvSpPr>
        </xdr:nvSpPr>
        <xdr:spPr bwMode="auto">
          <a:xfrm rot="10800000">
            <a:off x="1788" y="465"/>
            <a:ext cx="22" cy="5"/>
          </a:xfrm>
          <a:prstGeom prst="line">
            <a:avLst/>
          </a:prstGeom>
          <a:noFill/>
          <a:ln w="190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" name="Line 4842">
            <a:extLst>
              <a:ext uri="{FF2B5EF4-FFF2-40B4-BE49-F238E27FC236}">
                <a16:creationId xmlns:a16="http://schemas.microsoft.com/office/drawing/2014/main" id="{00000000-0008-0000-0100-000009000000}"/>
              </a:ext>
            </a:extLst>
          </xdr:cNvPr>
          <xdr:cNvSpPr>
            <a:spLocks noChangeAspect="1" noChangeShapeType="1"/>
          </xdr:cNvSpPr>
        </xdr:nvSpPr>
        <xdr:spPr bwMode="auto">
          <a:xfrm rot="10800000" flipV="1">
            <a:off x="1788" y="470"/>
            <a:ext cx="22" cy="6"/>
          </a:xfrm>
          <a:prstGeom prst="line">
            <a:avLst/>
          </a:prstGeom>
          <a:noFill/>
          <a:ln w="190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" name="Line 4843">
            <a:extLst>
              <a:ext uri="{FF2B5EF4-FFF2-40B4-BE49-F238E27FC236}">
                <a16:creationId xmlns:a16="http://schemas.microsoft.com/office/drawing/2014/main" id="{00000000-0008-0000-0100-00000A000000}"/>
              </a:ext>
            </a:extLst>
          </xdr:cNvPr>
          <xdr:cNvSpPr>
            <a:spLocks noChangeAspect="1" noChangeShapeType="1"/>
          </xdr:cNvSpPr>
        </xdr:nvSpPr>
        <xdr:spPr bwMode="auto">
          <a:xfrm rot="10800000">
            <a:off x="1788" y="476"/>
            <a:ext cx="11" cy="3"/>
          </a:xfrm>
          <a:prstGeom prst="line">
            <a:avLst/>
          </a:prstGeom>
          <a:noFill/>
          <a:ln w="190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" name="Line 4844">
            <a:extLst>
              <a:ext uri="{FF2B5EF4-FFF2-40B4-BE49-F238E27FC236}">
                <a16:creationId xmlns:a16="http://schemas.microsoft.com/office/drawing/2014/main" id="{00000000-0008-0000-0100-00000B000000}"/>
              </a:ext>
            </a:extLst>
          </xdr:cNvPr>
          <xdr:cNvSpPr>
            <a:spLocks noChangeAspect="1" noChangeShapeType="1"/>
          </xdr:cNvSpPr>
        </xdr:nvSpPr>
        <xdr:spPr bwMode="auto">
          <a:xfrm rot="10800000">
            <a:off x="1799" y="432"/>
            <a:ext cx="0" cy="14"/>
          </a:xfrm>
          <a:prstGeom prst="line">
            <a:avLst/>
          </a:prstGeom>
          <a:noFill/>
          <a:ln w="190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23</xdr:col>
      <xdr:colOff>152400</xdr:colOff>
      <xdr:row>11</xdr:row>
      <xdr:rowOff>0</xdr:rowOff>
    </xdr:from>
    <xdr:to>
      <xdr:col>35</xdr:col>
      <xdr:colOff>152400</xdr:colOff>
      <xdr:row>11</xdr:row>
      <xdr:rowOff>0</xdr:rowOff>
    </xdr:to>
    <xdr:sp macro="" textlink="">
      <xdr:nvSpPr>
        <xdr:cNvPr id="12" name="Line 4845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>
          <a:spLocks noChangeShapeType="1"/>
        </xdr:cNvSpPr>
      </xdr:nvSpPr>
      <xdr:spPr bwMode="auto">
        <a:xfrm>
          <a:off x="4524375" y="2095500"/>
          <a:ext cx="228600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29</xdr:col>
      <xdr:colOff>171450</xdr:colOff>
      <xdr:row>10</xdr:row>
      <xdr:rowOff>161925</xdr:rowOff>
    </xdr:from>
    <xdr:to>
      <xdr:col>29</xdr:col>
      <xdr:colOff>171450</xdr:colOff>
      <xdr:row>20</xdr:row>
      <xdr:rowOff>114300</xdr:rowOff>
    </xdr:to>
    <xdr:sp macro="" textlink="">
      <xdr:nvSpPr>
        <xdr:cNvPr id="13" name="Line 4847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>
          <a:spLocks noChangeShapeType="1"/>
        </xdr:cNvSpPr>
      </xdr:nvSpPr>
      <xdr:spPr bwMode="auto">
        <a:xfrm>
          <a:off x="5686425" y="2066925"/>
          <a:ext cx="0" cy="1857375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29</xdr:col>
      <xdr:colOff>152400</xdr:colOff>
      <xdr:row>10</xdr:row>
      <xdr:rowOff>152400</xdr:rowOff>
    </xdr:from>
    <xdr:to>
      <xdr:col>30</xdr:col>
      <xdr:colOff>47625</xdr:colOff>
      <xdr:row>11</xdr:row>
      <xdr:rowOff>47625</xdr:rowOff>
    </xdr:to>
    <xdr:sp macro="" textlink="">
      <xdr:nvSpPr>
        <xdr:cNvPr id="14" name="Oval 4848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>
          <a:spLocks noChangeArrowheads="1"/>
        </xdr:cNvSpPr>
      </xdr:nvSpPr>
      <xdr:spPr bwMode="auto">
        <a:xfrm>
          <a:off x="5667375" y="2057400"/>
          <a:ext cx="85725" cy="8572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29</xdr:col>
      <xdr:colOff>171450</xdr:colOff>
      <xdr:row>22</xdr:row>
      <xdr:rowOff>161925</xdr:rowOff>
    </xdr:from>
    <xdr:to>
      <xdr:col>29</xdr:col>
      <xdr:colOff>171450</xdr:colOff>
      <xdr:row>26</xdr:row>
      <xdr:rowOff>142875</xdr:rowOff>
    </xdr:to>
    <xdr:sp macro="" textlink="">
      <xdr:nvSpPr>
        <xdr:cNvPr id="15" name="Line 4850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>
          <a:spLocks noChangeShapeType="1"/>
        </xdr:cNvSpPr>
      </xdr:nvSpPr>
      <xdr:spPr bwMode="auto">
        <a:xfrm>
          <a:off x="5686425" y="4352925"/>
          <a:ext cx="0" cy="74295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133350</xdr:colOff>
      <xdr:row>11</xdr:row>
      <xdr:rowOff>0</xdr:rowOff>
    </xdr:from>
    <xdr:to>
      <xdr:col>6</xdr:col>
      <xdr:colOff>19050</xdr:colOff>
      <xdr:row>11</xdr:row>
      <xdr:rowOff>0</xdr:rowOff>
    </xdr:to>
    <xdr:sp macro="" textlink="">
      <xdr:nvSpPr>
        <xdr:cNvPr id="16" name="Line 4948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>
          <a:spLocks noChangeShapeType="1"/>
        </xdr:cNvSpPr>
      </xdr:nvSpPr>
      <xdr:spPr bwMode="auto">
        <a:xfrm>
          <a:off x="133350" y="2095500"/>
          <a:ext cx="102870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9525</xdr:colOff>
      <xdr:row>10</xdr:row>
      <xdr:rowOff>85725</xdr:rowOff>
    </xdr:from>
    <xdr:to>
      <xdr:col>9</xdr:col>
      <xdr:colOff>28575</xdr:colOff>
      <xdr:row>11</xdr:row>
      <xdr:rowOff>104775</xdr:rowOff>
    </xdr:to>
    <xdr:grpSp>
      <xdr:nvGrpSpPr>
        <xdr:cNvPr id="17" name="Group 4624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GrpSpPr>
          <a:grpSpLocks/>
        </xdr:cNvGrpSpPr>
      </xdr:nvGrpSpPr>
      <xdr:grpSpPr bwMode="auto">
        <a:xfrm>
          <a:off x="1152525" y="1990725"/>
          <a:ext cx="590550" cy="209550"/>
          <a:chOff x="965" y="749"/>
          <a:chExt cx="62" cy="22"/>
        </a:xfrm>
      </xdr:grpSpPr>
      <xdr:sp macro="" textlink="">
        <xdr:nvSpPr>
          <xdr:cNvPr id="18" name="Line 4625">
            <a:extLst>
              <a:ext uri="{FF2B5EF4-FFF2-40B4-BE49-F238E27FC236}">
                <a16:creationId xmlns:a16="http://schemas.microsoft.com/office/drawing/2014/main" id="{00000000-0008-0000-0100-000012000000}"/>
              </a:ext>
            </a:extLst>
          </xdr:cNvPr>
          <xdr:cNvSpPr>
            <a:spLocks noChangeAspect="1" noChangeShapeType="1"/>
          </xdr:cNvSpPr>
        </xdr:nvSpPr>
        <xdr:spPr bwMode="auto">
          <a:xfrm rot="-5400000">
            <a:off x="1006" y="764"/>
            <a:ext cx="11" cy="3"/>
          </a:xfrm>
          <a:prstGeom prst="line">
            <a:avLst/>
          </a:prstGeom>
          <a:noFill/>
          <a:ln w="190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" name="Line 4626">
            <a:extLst>
              <a:ext uri="{FF2B5EF4-FFF2-40B4-BE49-F238E27FC236}">
                <a16:creationId xmlns:a16="http://schemas.microsoft.com/office/drawing/2014/main" id="{00000000-0008-0000-0100-000013000000}"/>
              </a:ext>
            </a:extLst>
          </xdr:cNvPr>
          <xdr:cNvSpPr>
            <a:spLocks noChangeAspect="1" noChangeShapeType="1"/>
          </xdr:cNvSpPr>
        </xdr:nvSpPr>
        <xdr:spPr bwMode="auto">
          <a:xfrm rot="16200000" flipV="1">
            <a:off x="996" y="757"/>
            <a:ext cx="22" cy="6"/>
          </a:xfrm>
          <a:prstGeom prst="line">
            <a:avLst/>
          </a:prstGeom>
          <a:noFill/>
          <a:ln w="190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0" name="Line 4627">
            <a:extLst>
              <a:ext uri="{FF2B5EF4-FFF2-40B4-BE49-F238E27FC236}">
                <a16:creationId xmlns:a16="http://schemas.microsoft.com/office/drawing/2014/main" id="{00000000-0008-0000-0100-000014000000}"/>
              </a:ext>
            </a:extLst>
          </xdr:cNvPr>
          <xdr:cNvSpPr>
            <a:spLocks noChangeAspect="1" noChangeShapeType="1"/>
          </xdr:cNvSpPr>
        </xdr:nvSpPr>
        <xdr:spPr bwMode="auto">
          <a:xfrm rot="-5400000">
            <a:off x="990" y="757"/>
            <a:ext cx="22" cy="5"/>
          </a:xfrm>
          <a:prstGeom prst="line">
            <a:avLst/>
          </a:prstGeom>
          <a:noFill/>
          <a:ln w="190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1" name="Line 4628">
            <a:extLst>
              <a:ext uri="{FF2B5EF4-FFF2-40B4-BE49-F238E27FC236}">
                <a16:creationId xmlns:a16="http://schemas.microsoft.com/office/drawing/2014/main" id="{00000000-0008-0000-0100-000015000000}"/>
              </a:ext>
            </a:extLst>
          </xdr:cNvPr>
          <xdr:cNvSpPr>
            <a:spLocks noChangeAspect="1" noChangeShapeType="1"/>
          </xdr:cNvSpPr>
        </xdr:nvSpPr>
        <xdr:spPr bwMode="auto">
          <a:xfrm rot="16200000" flipV="1">
            <a:off x="985" y="757"/>
            <a:ext cx="22" cy="6"/>
          </a:xfrm>
          <a:prstGeom prst="line">
            <a:avLst/>
          </a:prstGeom>
          <a:noFill/>
          <a:ln w="190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2" name="Line 4629">
            <a:extLst>
              <a:ext uri="{FF2B5EF4-FFF2-40B4-BE49-F238E27FC236}">
                <a16:creationId xmlns:a16="http://schemas.microsoft.com/office/drawing/2014/main" id="{00000000-0008-0000-0100-000016000000}"/>
              </a:ext>
            </a:extLst>
          </xdr:cNvPr>
          <xdr:cNvSpPr>
            <a:spLocks noChangeAspect="1" noChangeShapeType="1"/>
          </xdr:cNvSpPr>
        </xdr:nvSpPr>
        <xdr:spPr bwMode="auto">
          <a:xfrm rot="-5400000">
            <a:off x="979" y="757"/>
            <a:ext cx="22" cy="5"/>
          </a:xfrm>
          <a:prstGeom prst="line">
            <a:avLst/>
          </a:prstGeom>
          <a:noFill/>
          <a:ln w="190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" name="Line 4630">
            <a:extLst>
              <a:ext uri="{FF2B5EF4-FFF2-40B4-BE49-F238E27FC236}">
                <a16:creationId xmlns:a16="http://schemas.microsoft.com/office/drawing/2014/main" id="{00000000-0008-0000-0100-000017000000}"/>
              </a:ext>
            </a:extLst>
          </xdr:cNvPr>
          <xdr:cNvSpPr>
            <a:spLocks noChangeAspect="1" noChangeShapeType="1"/>
          </xdr:cNvSpPr>
        </xdr:nvSpPr>
        <xdr:spPr bwMode="auto">
          <a:xfrm rot="16200000" flipV="1">
            <a:off x="973" y="757"/>
            <a:ext cx="22" cy="6"/>
          </a:xfrm>
          <a:prstGeom prst="line">
            <a:avLst/>
          </a:prstGeom>
          <a:noFill/>
          <a:ln w="190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4" name="Line 4631">
            <a:extLst>
              <a:ext uri="{FF2B5EF4-FFF2-40B4-BE49-F238E27FC236}">
                <a16:creationId xmlns:a16="http://schemas.microsoft.com/office/drawing/2014/main" id="{00000000-0008-0000-0100-000018000000}"/>
              </a:ext>
            </a:extLst>
          </xdr:cNvPr>
          <xdr:cNvSpPr>
            <a:spLocks noChangeAspect="1" noChangeShapeType="1"/>
          </xdr:cNvSpPr>
        </xdr:nvSpPr>
        <xdr:spPr bwMode="auto">
          <a:xfrm rot="-5400000">
            <a:off x="974" y="753"/>
            <a:ext cx="11" cy="3"/>
          </a:xfrm>
          <a:prstGeom prst="line">
            <a:avLst/>
          </a:prstGeom>
          <a:noFill/>
          <a:ln w="190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5" name="Line 4632">
            <a:extLst>
              <a:ext uri="{FF2B5EF4-FFF2-40B4-BE49-F238E27FC236}">
                <a16:creationId xmlns:a16="http://schemas.microsoft.com/office/drawing/2014/main" id="{00000000-0008-0000-0100-000019000000}"/>
              </a:ext>
            </a:extLst>
          </xdr:cNvPr>
          <xdr:cNvSpPr>
            <a:spLocks noChangeAspect="1" noChangeShapeType="1"/>
          </xdr:cNvSpPr>
        </xdr:nvSpPr>
        <xdr:spPr bwMode="auto">
          <a:xfrm rot="-5400000">
            <a:off x="1020" y="753"/>
            <a:ext cx="0" cy="14"/>
          </a:xfrm>
          <a:prstGeom prst="line">
            <a:avLst/>
          </a:prstGeom>
          <a:noFill/>
          <a:ln w="190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6" name="Line 4633">
            <a:extLst>
              <a:ext uri="{FF2B5EF4-FFF2-40B4-BE49-F238E27FC236}">
                <a16:creationId xmlns:a16="http://schemas.microsoft.com/office/drawing/2014/main" id="{00000000-0008-0000-0100-00001A000000}"/>
              </a:ext>
            </a:extLst>
          </xdr:cNvPr>
          <xdr:cNvSpPr>
            <a:spLocks noChangeAspect="1" noChangeShapeType="1"/>
          </xdr:cNvSpPr>
        </xdr:nvSpPr>
        <xdr:spPr bwMode="auto">
          <a:xfrm rot="-5400000">
            <a:off x="972" y="753"/>
            <a:ext cx="0" cy="14"/>
          </a:xfrm>
          <a:prstGeom prst="line">
            <a:avLst/>
          </a:prstGeom>
          <a:noFill/>
          <a:ln w="190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10</xdr:col>
      <xdr:colOff>152400</xdr:colOff>
      <xdr:row>10</xdr:row>
      <xdr:rowOff>85725</xdr:rowOff>
    </xdr:from>
    <xdr:to>
      <xdr:col>13</xdr:col>
      <xdr:colOff>171450</xdr:colOff>
      <xdr:row>11</xdr:row>
      <xdr:rowOff>104775</xdr:rowOff>
    </xdr:to>
    <xdr:grpSp>
      <xdr:nvGrpSpPr>
        <xdr:cNvPr id="27" name="Group 4624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GrpSpPr>
          <a:grpSpLocks/>
        </xdr:cNvGrpSpPr>
      </xdr:nvGrpSpPr>
      <xdr:grpSpPr bwMode="auto">
        <a:xfrm>
          <a:off x="2057400" y="1990725"/>
          <a:ext cx="590550" cy="209550"/>
          <a:chOff x="965" y="749"/>
          <a:chExt cx="62" cy="22"/>
        </a:xfrm>
      </xdr:grpSpPr>
      <xdr:sp macro="" textlink="">
        <xdr:nvSpPr>
          <xdr:cNvPr id="28" name="Line 4625">
            <a:extLst>
              <a:ext uri="{FF2B5EF4-FFF2-40B4-BE49-F238E27FC236}">
                <a16:creationId xmlns:a16="http://schemas.microsoft.com/office/drawing/2014/main" id="{00000000-0008-0000-0100-00001C000000}"/>
              </a:ext>
            </a:extLst>
          </xdr:cNvPr>
          <xdr:cNvSpPr>
            <a:spLocks noChangeAspect="1" noChangeShapeType="1"/>
          </xdr:cNvSpPr>
        </xdr:nvSpPr>
        <xdr:spPr bwMode="auto">
          <a:xfrm rot="-5400000">
            <a:off x="1006" y="764"/>
            <a:ext cx="11" cy="3"/>
          </a:xfrm>
          <a:prstGeom prst="line">
            <a:avLst/>
          </a:prstGeom>
          <a:noFill/>
          <a:ln w="190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9" name="Line 4626">
            <a:extLst>
              <a:ext uri="{FF2B5EF4-FFF2-40B4-BE49-F238E27FC236}">
                <a16:creationId xmlns:a16="http://schemas.microsoft.com/office/drawing/2014/main" id="{00000000-0008-0000-0100-00001D000000}"/>
              </a:ext>
            </a:extLst>
          </xdr:cNvPr>
          <xdr:cNvSpPr>
            <a:spLocks noChangeAspect="1" noChangeShapeType="1"/>
          </xdr:cNvSpPr>
        </xdr:nvSpPr>
        <xdr:spPr bwMode="auto">
          <a:xfrm rot="16200000" flipV="1">
            <a:off x="996" y="757"/>
            <a:ext cx="22" cy="6"/>
          </a:xfrm>
          <a:prstGeom prst="line">
            <a:avLst/>
          </a:prstGeom>
          <a:noFill/>
          <a:ln w="190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" name="Line 4627">
            <a:extLst>
              <a:ext uri="{FF2B5EF4-FFF2-40B4-BE49-F238E27FC236}">
                <a16:creationId xmlns:a16="http://schemas.microsoft.com/office/drawing/2014/main" id="{00000000-0008-0000-0100-00001E000000}"/>
              </a:ext>
            </a:extLst>
          </xdr:cNvPr>
          <xdr:cNvSpPr>
            <a:spLocks noChangeAspect="1" noChangeShapeType="1"/>
          </xdr:cNvSpPr>
        </xdr:nvSpPr>
        <xdr:spPr bwMode="auto">
          <a:xfrm rot="-5400000">
            <a:off x="990" y="757"/>
            <a:ext cx="22" cy="5"/>
          </a:xfrm>
          <a:prstGeom prst="line">
            <a:avLst/>
          </a:prstGeom>
          <a:noFill/>
          <a:ln w="190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1" name="Line 4628">
            <a:extLst>
              <a:ext uri="{FF2B5EF4-FFF2-40B4-BE49-F238E27FC236}">
                <a16:creationId xmlns:a16="http://schemas.microsoft.com/office/drawing/2014/main" id="{00000000-0008-0000-0100-00001F000000}"/>
              </a:ext>
            </a:extLst>
          </xdr:cNvPr>
          <xdr:cNvSpPr>
            <a:spLocks noChangeAspect="1" noChangeShapeType="1"/>
          </xdr:cNvSpPr>
        </xdr:nvSpPr>
        <xdr:spPr bwMode="auto">
          <a:xfrm rot="16200000" flipV="1">
            <a:off x="985" y="757"/>
            <a:ext cx="22" cy="6"/>
          </a:xfrm>
          <a:prstGeom prst="line">
            <a:avLst/>
          </a:prstGeom>
          <a:noFill/>
          <a:ln w="190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2" name="Line 4629">
            <a:extLst>
              <a:ext uri="{FF2B5EF4-FFF2-40B4-BE49-F238E27FC236}">
                <a16:creationId xmlns:a16="http://schemas.microsoft.com/office/drawing/2014/main" id="{00000000-0008-0000-0100-000020000000}"/>
              </a:ext>
            </a:extLst>
          </xdr:cNvPr>
          <xdr:cNvSpPr>
            <a:spLocks noChangeAspect="1" noChangeShapeType="1"/>
          </xdr:cNvSpPr>
        </xdr:nvSpPr>
        <xdr:spPr bwMode="auto">
          <a:xfrm rot="-5400000">
            <a:off x="979" y="757"/>
            <a:ext cx="22" cy="5"/>
          </a:xfrm>
          <a:prstGeom prst="line">
            <a:avLst/>
          </a:prstGeom>
          <a:noFill/>
          <a:ln w="190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3" name="Line 4630">
            <a:extLst>
              <a:ext uri="{FF2B5EF4-FFF2-40B4-BE49-F238E27FC236}">
                <a16:creationId xmlns:a16="http://schemas.microsoft.com/office/drawing/2014/main" id="{00000000-0008-0000-0100-000021000000}"/>
              </a:ext>
            </a:extLst>
          </xdr:cNvPr>
          <xdr:cNvSpPr>
            <a:spLocks noChangeAspect="1" noChangeShapeType="1"/>
          </xdr:cNvSpPr>
        </xdr:nvSpPr>
        <xdr:spPr bwMode="auto">
          <a:xfrm rot="16200000" flipV="1">
            <a:off x="973" y="757"/>
            <a:ext cx="22" cy="6"/>
          </a:xfrm>
          <a:prstGeom prst="line">
            <a:avLst/>
          </a:prstGeom>
          <a:noFill/>
          <a:ln w="190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4" name="Line 4631">
            <a:extLst>
              <a:ext uri="{FF2B5EF4-FFF2-40B4-BE49-F238E27FC236}">
                <a16:creationId xmlns:a16="http://schemas.microsoft.com/office/drawing/2014/main" id="{00000000-0008-0000-0100-000022000000}"/>
              </a:ext>
            </a:extLst>
          </xdr:cNvPr>
          <xdr:cNvSpPr>
            <a:spLocks noChangeAspect="1" noChangeShapeType="1"/>
          </xdr:cNvSpPr>
        </xdr:nvSpPr>
        <xdr:spPr bwMode="auto">
          <a:xfrm rot="-5400000">
            <a:off x="974" y="753"/>
            <a:ext cx="11" cy="3"/>
          </a:xfrm>
          <a:prstGeom prst="line">
            <a:avLst/>
          </a:prstGeom>
          <a:noFill/>
          <a:ln w="190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5" name="Line 4632">
            <a:extLst>
              <a:ext uri="{FF2B5EF4-FFF2-40B4-BE49-F238E27FC236}">
                <a16:creationId xmlns:a16="http://schemas.microsoft.com/office/drawing/2014/main" id="{00000000-0008-0000-0100-000023000000}"/>
              </a:ext>
            </a:extLst>
          </xdr:cNvPr>
          <xdr:cNvSpPr>
            <a:spLocks noChangeAspect="1" noChangeShapeType="1"/>
          </xdr:cNvSpPr>
        </xdr:nvSpPr>
        <xdr:spPr bwMode="auto">
          <a:xfrm rot="-5400000">
            <a:off x="1020" y="753"/>
            <a:ext cx="0" cy="14"/>
          </a:xfrm>
          <a:prstGeom prst="line">
            <a:avLst/>
          </a:prstGeom>
          <a:noFill/>
          <a:ln w="190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6" name="Line 4633">
            <a:extLst>
              <a:ext uri="{FF2B5EF4-FFF2-40B4-BE49-F238E27FC236}">
                <a16:creationId xmlns:a16="http://schemas.microsoft.com/office/drawing/2014/main" id="{00000000-0008-0000-0100-000024000000}"/>
              </a:ext>
            </a:extLst>
          </xdr:cNvPr>
          <xdr:cNvSpPr>
            <a:spLocks noChangeAspect="1" noChangeShapeType="1"/>
          </xdr:cNvSpPr>
        </xdr:nvSpPr>
        <xdr:spPr bwMode="auto">
          <a:xfrm rot="-5400000">
            <a:off x="972" y="753"/>
            <a:ext cx="0" cy="14"/>
          </a:xfrm>
          <a:prstGeom prst="line">
            <a:avLst/>
          </a:prstGeom>
          <a:noFill/>
          <a:ln w="190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16</xdr:col>
      <xdr:colOff>19050</xdr:colOff>
      <xdr:row>10</xdr:row>
      <xdr:rowOff>85725</xdr:rowOff>
    </xdr:from>
    <xdr:to>
      <xdr:col>19</xdr:col>
      <xdr:colOff>38100</xdr:colOff>
      <xdr:row>11</xdr:row>
      <xdr:rowOff>104775</xdr:rowOff>
    </xdr:to>
    <xdr:grpSp>
      <xdr:nvGrpSpPr>
        <xdr:cNvPr id="37" name="Group 4624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GrpSpPr>
          <a:grpSpLocks/>
        </xdr:cNvGrpSpPr>
      </xdr:nvGrpSpPr>
      <xdr:grpSpPr bwMode="auto">
        <a:xfrm>
          <a:off x="3067050" y="1990725"/>
          <a:ext cx="590550" cy="209550"/>
          <a:chOff x="965" y="749"/>
          <a:chExt cx="62" cy="22"/>
        </a:xfrm>
      </xdr:grpSpPr>
      <xdr:sp macro="" textlink="">
        <xdr:nvSpPr>
          <xdr:cNvPr id="38" name="Line 4625">
            <a:extLst>
              <a:ext uri="{FF2B5EF4-FFF2-40B4-BE49-F238E27FC236}">
                <a16:creationId xmlns:a16="http://schemas.microsoft.com/office/drawing/2014/main" id="{00000000-0008-0000-0100-000026000000}"/>
              </a:ext>
            </a:extLst>
          </xdr:cNvPr>
          <xdr:cNvSpPr>
            <a:spLocks noChangeAspect="1" noChangeShapeType="1"/>
          </xdr:cNvSpPr>
        </xdr:nvSpPr>
        <xdr:spPr bwMode="auto">
          <a:xfrm rot="-5400000">
            <a:off x="1006" y="764"/>
            <a:ext cx="11" cy="3"/>
          </a:xfrm>
          <a:prstGeom prst="line">
            <a:avLst/>
          </a:prstGeom>
          <a:noFill/>
          <a:ln w="190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9" name="Line 4626">
            <a:extLst>
              <a:ext uri="{FF2B5EF4-FFF2-40B4-BE49-F238E27FC236}">
                <a16:creationId xmlns:a16="http://schemas.microsoft.com/office/drawing/2014/main" id="{00000000-0008-0000-0100-000027000000}"/>
              </a:ext>
            </a:extLst>
          </xdr:cNvPr>
          <xdr:cNvSpPr>
            <a:spLocks noChangeAspect="1" noChangeShapeType="1"/>
          </xdr:cNvSpPr>
        </xdr:nvSpPr>
        <xdr:spPr bwMode="auto">
          <a:xfrm rot="16200000" flipV="1">
            <a:off x="996" y="757"/>
            <a:ext cx="22" cy="6"/>
          </a:xfrm>
          <a:prstGeom prst="line">
            <a:avLst/>
          </a:prstGeom>
          <a:noFill/>
          <a:ln w="190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0" name="Line 4627">
            <a:extLst>
              <a:ext uri="{FF2B5EF4-FFF2-40B4-BE49-F238E27FC236}">
                <a16:creationId xmlns:a16="http://schemas.microsoft.com/office/drawing/2014/main" id="{00000000-0008-0000-0100-000028000000}"/>
              </a:ext>
            </a:extLst>
          </xdr:cNvPr>
          <xdr:cNvSpPr>
            <a:spLocks noChangeAspect="1" noChangeShapeType="1"/>
          </xdr:cNvSpPr>
        </xdr:nvSpPr>
        <xdr:spPr bwMode="auto">
          <a:xfrm rot="-5400000">
            <a:off x="990" y="757"/>
            <a:ext cx="22" cy="5"/>
          </a:xfrm>
          <a:prstGeom prst="line">
            <a:avLst/>
          </a:prstGeom>
          <a:noFill/>
          <a:ln w="190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1" name="Line 4628">
            <a:extLst>
              <a:ext uri="{FF2B5EF4-FFF2-40B4-BE49-F238E27FC236}">
                <a16:creationId xmlns:a16="http://schemas.microsoft.com/office/drawing/2014/main" id="{00000000-0008-0000-0100-000029000000}"/>
              </a:ext>
            </a:extLst>
          </xdr:cNvPr>
          <xdr:cNvSpPr>
            <a:spLocks noChangeAspect="1" noChangeShapeType="1"/>
          </xdr:cNvSpPr>
        </xdr:nvSpPr>
        <xdr:spPr bwMode="auto">
          <a:xfrm rot="16200000" flipV="1">
            <a:off x="985" y="757"/>
            <a:ext cx="22" cy="6"/>
          </a:xfrm>
          <a:prstGeom prst="line">
            <a:avLst/>
          </a:prstGeom>
          <a:noFill/>
          <a:ln w="190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2" name="Line 4629">
            <a:extLst>
              <a:ext uri="{FF2B5EF4-FFF2-40B4-BE49-F238E27FC236}">
                <a16:creationId xmlns:a16="http://schemas.microsoft.com/office/drawing/2014/main" id="{00000000-0008-0000-0100-00002A000000}"/>
              </a:ext>
            </a:extLst>
          </xdr:cNvPr>
          <xdr:cNvSpPr>
            <a:spLocks noChangeAspect="1" noChangeShapeType="1"/>
          </xdr:cNvSpPr>
        </xdr:nvSpPr>
        <xdr:spPr bwMode="auto">
          <a:xfrm rot="-5400000">
            <a:off x="979" y="757"/>
            <a:ext cx="22" cy="5"/>
          </a:xfrm>
          <a:prstGeom prst="line">
            <a:avLst/>
          </a:prstGeom>
          <a:noFill/>
          <a:ln w="190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3" name="Line 4630">
            <a:extLst>
              <a:ext uri="{FF2B5EF4-FFF2-40B4-BE49-F238E27FC236}">
                <a16:creationId xmlns:a16="http://schemas.microsoft.com/office/drawing/2014/main" id="{00000000-0008-0000-0100-00002B000000}"/>
              </a:ext>
            </a:extLst>
          </xdr:cNvPr>
          <xdr:cNvSpPr>
            <a:spLocks noChangeAspect="1" noChangeShapeType="1"/>
          </xdr:cNvSpPr>
        </xdr:nvSpPr>
        <xdr:spPr bwMode="auto">
          <a:xfrm rot="16200000" flipV="1">
            <a:off x="973" y="757"/>
            <a:ext cx="22" cy="6"/>
          </a:xfrm>
          <a:prstGeom prst="line">
            <a:avLst/>
          </a:prstGeom>
          <a:noFill/>
          <a:ln w="190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4" name="Line 4631">
            <a:extLst>
              <a:ext uri="{FF2B5EF4-FFF2-40B4-BE49-F238E27FC236}">
                <a16:creationId xmlns:a16="http://schemas.microsoft.com/office/drawing/2014/main" id="{00000000-0008-0000-0100-00002C000000}"/>
              </a:ext>
            </a:extLst>
          </xdr:cNvPr>
          <xdr:cNvSpPr>
            <a:spLocks noChangeAspect="1" noChangeShapeType="1"/>
          </xdr:cNvSpPr>
        </xdr:nvSpPr>
        <xdr:spPr bwMode="auto">
          <a:xfrm rot="-5400000">
            <a:off x="974" y="753"/>
            <a:ext cx="11" cy="3"/>
          </a:xfrm>
          <a:prstGeom prst="line">
            <a:avLst/>
          </a:prstGeom>
          <a:noFill/>
          <a:ln w="190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5" name="Line 4632">
            <a:extLst>
              <a:ext uri="{FF2B5EF4-FFF2-40B4-BE49-F238E27FC236}">
                <a16:creationId xmlns:a16="http://schemas.microsoft.com/office/drawing/2014/main" id="{00000000-0008-0000-0100-00002D000000}"/>
              </a:ext>
            </a:extLst>
          </xdr:cNvPr>
          <xdr:cNvSpPr>
            <a:spLocks noChangeAspect="1" noChangeShapeType="1"/>
          </xdr:cNvSpPr>
        </xdr:nvSpPr>
        <xdr:spPr bwMode="auto">
          <a:xfrm rot="-5400000">
            <a:off x="1020" y="753"/>
            <a:ext cx="0" cy="14"/>
          </a:xfrm>
          <a:prstGeom prst="line">
            <a:avLst/>
          </a:prstGeom>
          <a:noFill/>
          <a:ln w="190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6" name="Line 4633">
            <a:extLst>
              <a:ext uri="{FF2B5EF4-FFF2-40B4-BE49-F238E27FC236}">
                <a16:creationId xmlns:a16="http://schemas.microsoft.com/office/drawing/2014/main" id="{00000000-0008-0000-0100-00002E000000}"/>
              </a:ext>
            </a:extLst>
          </xdr:cNvPr>
          <xdr:cNvSpPr>
            <a:spLocks noChangeAspect="1" noChangeShapeType="1"/>
          </xdr:cNvSpPr>
        </xdr:nvSpPr>
        <xdr:spPr bwMode="auto">
          <a:xfrm rot="-5400000">
            <a:off x="972" y="753"/>
            <a:ext cx="0" cy="14"/>
          </a:xfrm>
          <a:prstGeom prst="line">
            <a:avLst/>
          </a:prstGeom>
          <a:noFill/>
          <a:ln w="190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20</xdr:col>
      <xdr:colOff>171450</xdr:colOff>
      <xdr:row>10</xdr:row>
      <xdr:rowOff>85725</xdr:rowOff>
    </xdr:from>
    <xdr:to>
      <xdr:col>24</xdr:col>
      <xdr:colOff>0</xdr:colOff>
      <xdr:row>11</xdr:row>
      <xdr:rowOff>104775</xdr:rowOff>
    </xdr:to>
    <xdr:grpSp>
      <xdr:nvGrpSpPr>
        <xdr:cNvPr id="47" name="Group 4624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GrpSpPr>
          <a:grpSpLocks/>
        </xdr:cNvGrpSpPr>
      </xdr:nvGrpSpPr>
      <xdr:grpSpPr bwMode="auto">
        <a:xfrm>
          <a:off x="3981450" y="1990725"/>
          <a:ext cx="590550" cy="209550"/>
          <a:chOff x="965" y="749"/>
          <a:chExt cx="62" cy="22"/>
        </a:xfrm>
      </xdr:grpSpPr>
      <xdr:sp macro="" textlink="">
        <xdr:nvSpPr>
          <xdr:cNvPr id="48" name="Line 4625">
            <a:extLst>
              <a:ext uri="{FF2B5EF4-FFF2-40B4-BE49-F238E27FC236}">
                <a16:creationId xmlns:a16="http://schemas.microsoft.com/office/drawing/2014/main" id="{00000000-0008-0000-0100-000030000000}"/>
              </a:ext>
            </a:extLst>
          </xdr:cNvPr>
          <xdr:cNvSpPr>
            <a:spLocks noChangeAspect="1" noChangeShapeType="1"/>
          </xdr:cNvSpPr>
        </xdr:nvSpPr>
        <xdr:spPr bwMode="auto">
          <a:xfrm rot="-5400000">
            <a:off x="1006" y="764"/>
            <a:ext cx="11" cy="3"/>
          </a:xfrm>
          <a:prstGeom prst="line">
            <a:avLst/>
          </a:prstGeom>
          <a:noFill/>
          <a:ln w="190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9" name="Line 4626">
            <a:extLst>
              <a:ext uri="{FF2B5EF4-FFF2-40B4-BE49-F238E27FC236}">
                <a16:creationId xmlns:a16="http://schemas.microsoft.com/office/drawing/2014/main" id="{00000000-0008-0000-0100-000031000000}"/>
              </a:ext>
            </a:extLst>
          </xdr:cNvPr>
          <xdr:cNvSpPr>
            <a:spLocks noChangeAspect="1" noChangeShapeType="1"/>
          </xdr:cNvSpPr>
        </xdr:nvSpPr>
        <xdr:spPr bwMode="auto">
          <a:xfrm rot="16200000" flipV="1">
            <a:off x="996" y="757"/>
            <a:ext cx="22" cy="6"/>
          </a:xfrm>
          <a:prstGeom prst="line">
            <a:avLst/>
          </a:prstGeom>
          <a:noFill/>
          <a:ln w="190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0" name="Line 4627">
            <a:extLst>
              <a:ext uri="{FF2B5EF4-FFF2-40B4-BE49-F238E27FC236}">
                <a16:creationId xmlns:a16="http://schemas.microsoft.com/office/drawing/2014/main" id="{00000000-0008-0000-0100-000032000000}"/>
              </a:ext>
            </a:extLst>
          </xdr:cNvPr>
          <xdr:cNvSpPr>
            <a:spLocks noChangeAspect="1" noChangeShapeType="1"/>
          </xdr:cNvSpPr>
        </xdr:nvSpPr>
        <xdr:spPr bwMode="auto">
          <a:xfrm rot="-5400000">
            <a:off x="990" y="757"/>
            <a:ext cx="22" cy="5"/>
          </a:xfrm>
          <a:prstGeom prst="line">
            <a:avLst/>
          </a:prstGeom>
          <a:noFill/>
          <a:ln w="190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1" name="Line 4628">
            <a:extLst>
              <a:ext uri="{FF2B5EF4-FFF2-40B4-BE49-F238E27FC236}">
                <a16:creationId xmlns:a16="http://schemas.microsoft.com/office/drawing/2014/main" id="{00000000-0008-0000-0100-000033000000}"/>
              </a:ext>
            </a:extLst>
          </xdr:cNvPr>
          <xdr:cNvSpPr>
            <a:spLocks noChangeAspect="1" noChangeShapeType="1"/>
          </xdr:cNvSpPr>
        </xdr:nvSpPr>
        <xdr:spPr bwMode="auto">
          <a:xfrm rot="16200000" flipV="1">
            <a:off x="985" y="757"/>
            <a:ext cx="22" cy="6"/>
          </a:xfrm>
          <a:prstGeom prst="line">
            <a:avLst/>
          </a:prstGeom>
          <a:noFill/>
          <a:ln w="190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2" name="Line 4629">
            <a:extLst>
              <a:ext uri="{FF2B5EF4-FFF2-40B4-BE49-F238E27FC236}">
                <a16:creationId xmlns:a16="http://schemas.microsoft.com/office/drawing/2014/main" id="{00000000-0008-0000-0100-000034000000}"/>
              </a:ext>
            </a:extLst>
          </xdr:cNvPr>
          <xdr:cNvSpPr>
            <a:spLocks noChangeAspect="1" noChangeShapeType="1"/>
          </xdr:cNvSpPr>
        </xdr:nvSpPr>
        <xdr:spPr bwMode="auto">
          <a:xfrm rot="-5400000">
            <a:off x="979" y="757"/>
            <a:ext cx="22" cy="5"/>
          </a:xfrm>
          <a:prstGeom prst="line">
            <a:avLst/>
          </a:prstGeom>
          <a:noFill/>
          <a:ln w="190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3" name="Line 4630">
            <a:extLst>
              <a:ext uri="{FF2B5EF4-FFF2-40B4-BE49-F238E27FC236}">
                <a16:creationId xmlns:a16="http://schemas.microsoft.com/office/drawing/2014/main" id="{00000000-0008-0000-0100-000035000000}"/>
              </a:ext>
            </a:extLst>
          </xdr:cNvPr>
          <xdr:cNvSpPr>
            <a:spLocks noChangeAspect="1" noChangeShapeType="1"/>
          </xdr:cNvSpPr>
        </xdr:nvSpPr>
        <xdr:spPr bwMode="auto">
          <a:xfrm rot="16200000" flipV="1">
            <a:off x="973" y="757"/>
            <a:ext cx="22" cy="6"/>
          </a:xfrm>
          <a:prstGeom prst="line">
            <a:avLst/>
          </a:prstGeom>
          <a:noFill/>
          <a:ln w="190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4" name="Line 4631">
            <a:extLst>
              <a:ext uri="{FF2B5EF4-FFF2-40B4-BE49-F238E27FC236}">
                <a16:creationId xmlns:a16="http://schemas.microsoft.com/office/drawing/2014/main" id="{00000000-0008-0000-0100-000036000000}"/>
              </a:ext>
            </a:extLst>
          </xdr:cNvPr>
          <xdr:cNvSpPr>
            <a:spLocks noChangeAspect="1" noChangeShapeType="1"/>
          </xdr:cNvSpPr>
        </xdr:nvSpPr>
        <xdr:spPr bwMode="auto">
          <a:xfrm rot="-5400000">
            <a:off x="974" y="753"/>
            <a:ext cx="11" cy="3"/>
          </a:xfrm>
          <a:prstGeom prst="line">
            <a:avLst/>
          </a:prstGeom>
          <a:noFill/>
          <a:ln w="190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5" name="Line 4632">
            <a:extLst>
              <a:ext uri="{FF2B5EF4-FFF2-40B4-BE49-F238E27FC236}">
                <a16:creationId xmlns:a16="http://schemas.microsoft.com/office/drawing/2014/main" id="{00000000-0008-0000-0100-000037000000}"/>
              </a:ext>
            </a:extLst>
          </xdr:cNvPr>
          <xdr:cNvSpPr>
            <a:spLocks noChangeAspect="1" noChangeShapeType="1"/>
          </xdr:cNvSpPr>
        </xdr:nvSpPr>
        <xdr:spPr bwMode="auto">
          <a:xfrm rot="-5400000">
            <a:off x="1020" y="753"/>
            <a:ext cx="0" cy="14"/>
          </a:xfrm>
          <a:prstGeom prst="line">
            <a:avLst/>
          </a:prstGeom>
          <a:noFill/>
          <a:ln w="190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6" name="Line 4633">
            <a:extLst>
              <a:ext uri="{FF2B5EF4-FFF2-40B4-BE49-F238E27FC236}">
                <a16:creationId xmlns:a16="http://schemas.microsoft.com/office/drawing/2014/main" id="{00000000-0008-0000-0100-000038000000}"/>
              </a:ext>
            </a:extLst>
          </xdr:cNvPr>
          <xdr:cNvSpPr>
            <a:spLocks noChangeAspect="1" noChangeShapeType="1"/>
          </xdr:cNvSpPr>
        </xdr:nvSpPr>
        <xdr:spPr bwMode="auto">
          <a:xfrm rot="-5400000">
            <a:off x="972" y="753"/>
            <a:ext cx="0" cy="14"/>
          </a:xfrm>
          <a:prstGeom prst="line">
            <a:avLst/>
          </a:prstGeom>
          <a:noFill/>
          <a:ln w="190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7</xdr:col>
      <xdr:colOff>19050</xdr:colOff>
      <xdr:row>6</xdr:row>
      <xdr:rowOff>95250</xdr:rowOff>
    </xdr:from>
    <xdr:to>
      <xdr:col>10</xdr:col>
      <xdr:colOff>0</xdr:colOff>
      <xdr:row>9</xdr:row>
      <xdr:rowOff>28575</xdr:rowOff>
    </xdr:to>
    <xdr:grpSp>
      <xdr:nvGrpSpPr>
        <xdr:cNvPr id="57" name="Group 3576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GrpSpPr>
          <a:grpSpLocks/>
        </xdr:cNvGrpSpPr>
      </xdr:nvGrpSpPr>
      <xdr:grpSpPr bwMode="auto">
        <a:xfrm>
          <a:off x="1352550" y="1238250"/>
          <a:ext cx="552450" cy="504825"/>
          <a:chOff x="1061" y="1939"/>
          <a:chExt cx="80" cy="39"/>
        </a:xfrm>
      </xdr:grpSpPr>
      <xdr:sp macro="" textlink="">
        <xdr:nvSpPr>
          <xdr:cNvPr id="58" name="Arc 3573">
            <a:extLst>
              <a:ext uri="{FF2B5EF4-FFF2-40B4-BE49-F238E27FC236}">
                <a16:creationId xmlns:a16="http://schemas.microsoft.com/office/drawing/2014/main" id="{00000000-0008-0000-0100-00003A000000}"/>
              </a:ext>
            </a:extLst>
          </xdr:cNvPr>
          <xdr:cNvSpPr>
            <a:spLocks noChangeAspect="1"/>
          </xdr:cNvSpPr>
        </xdr:nvSpPr>
        <xdr:spPr bwMode="auto">
          <a:xfrm flipH="1">
            <a:off x="1106" y="1939"/>
            <a:ext cx="35" cy="39"/>
          </a:xfrm>
          <a:custGeom>
            <a:avLst/>
            <a:gdLst>
              <a:gd name="T0" fmla="*/ 0 w 43200"/>
              <a:gd name="T1" fmla="*/ 0 h 38263"/>
              <a:gd name="T2" fmla="*/ 0 w 43200"/>
              <a:gd name="T3" fmla="*/ 0 h 38263"/>
              <a:gd name="T4" fmla="*/ 0 w 43200"/>
              <a:gd name="T5" fmla="*/ 0 h 38263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43200" h="38263" fill="none" extrusionOk="0">
                <a:moveTo>
                  <a:pt x="26" y="22673"/>
                </a:moveTo>
                <a:cubicBezTo>
                  <a:pt x="8" y="22315"/>
                  <a:pt x="0" y="21957"/>
                  <a:pt x="0" y="21600"/>
                </a:cubicBezTo>
                <a:cubicBezTo>
                  <a:pt x="0" y="9670"/>
                  <a:pt x="9670" y="0"/>
                  <a:pt x="21600" y="0"/>
                </a:cubicBezTo>
                <a:cubicBezTo>
                  <a:pt x="33529" y="0"/>
                  <a:pt x="43200" y="9670"/>
                  <a:pt x="43200" y="21600"/>
                </a:cubicBezTo>
                <a:cubicBezTo>
                  <a:pt x="43200" y="28048"/>
                  <a:pt x="40318" y="34159"/>
                  <a:pt x="35344" y="38263"/>
                </a:cubicBezTo>
              </a:path>
              <a:path w="43200" h="38263" stroke="0" extrusionOk="0">
                <a:moveTo>
                  <a:pt x="26" y="22673"/>
                </a:moveTo>
                <a:cubicBezTo>
                  <a:pt x="8" y="22315"/>
                  <a:pt x="0" y="21957"/>
                  <a:pt x="0" y="21600"/>
                </a:cubicBezTo>
                <a:cubicBezTo>
                  <a:pt x="0" y="9670"/>
                  <a:pt x="9670" y="0"/>
                  <a:pt x="21600" y="0"/>
                </a:cubicBezTo>
                <a:cubicBezTo>
                  <a:pt x="33529" y="0"/>
                  <a:pt x="43200" y="9670"/>
                  <a:pt x="43200" y="21600"/>
                </a:cubicBezTo>
                <a:cubicBezTo>
                  <a:pt x="43200" y="28048"/>
                  <a:pt x="40318" y="34159"/>
                  <a:pt x="35344" y="38263"/>
                </a:cubicBezTo>
                <a:lnTo>
                  <a:pt x="21600" y="21600"/>
                </a:lnTo>
                <a:lnTo>
                  <a:pt x="26" y="22673"/>
                </a:lnTo>
                <a:close/>
              </a:path>
            </a:pathLst>
          </a:custGeom>
          <a:noFill/>
          <a:ln w="190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CCCCFF" mc:Ignorable="a14" a14:legacySpreadsheetColorIndex="31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59" name="Arc 3574">
            <a:extLst>
              <a:ext uri="{FF2B5EF4-FFF2-40B4-BE49-F238E27FC236}">
                <a16:creationId xmlns:a16="http://schemas.microsoft.com/office/drawing/2014/main" id="{00000000-0008-0000-0100-00003B000000}"/>
              </a:ext>
            </a:extLst>
          </xdr:cNvPr>
          <xdr:cNvSpPr>
            <a:spLocks noChangeAspect="1"/>
          </xdr:cNvSpPr>
        </xdr:nvSpPr>
        <xdr:spPr bwMode="auto">
          <a:xfrm>
            <a:off x="1085" y="1939"/>
            <a:ext cx="34" cy="39"/>
          </a:xfrm>
          <a:custGeom>
            <a:avLst/>
            <a:gdLst>
              <a:gd name="T0" fmla="*/ 0 w 43200"/>
              <a:gd name="T1" fmla="*/ 0 h 38440"/>
              <a:gd name="T2" fmla="*/ 0 w 43200"/>
              <a:gd name="T3" fmla="*/ 0 h 38440"/>
              <a:gd name="T4" fmla="*/ 0 w 43200"/>
              <a:gd name="T5" fmla="*/ 0 h 3844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43200" h="38440" fill="none" extrusionOk="0">
                <a:moveTo>
                  <a:pt x="8070" y="38438"/>
                </a:moveTo>
                <a:cubicBezTo>
                  <a:pt x="2968" y="34338"/>
                  <a:pt x="0" y="28145"/>
                  <a:pt x="0" y="21600"/>
                </a:cubicBezTo>
                <a:cubicBezTo>
                  <a:pt x="0" y="9670"/>
                  <a:pt x="9670" y="0"/>
                  <a:pt x="21600" y="0"/>
                </a:cubicBezTo>
                <a:cubicBezTo>
                  <a:pt x="33529" y="0"/>
                  <a:pt x="43200" y="9670"/>
                  <a:pt x="43200" y="21600"/>
                </a:cubicBezTo>
                <a:cubicBezTo>
                  <a:pt x="43200" y="28146"/>
                  <a:pt x="40230" y="34340"/>
                  <a:pt x="35126" y="38439"/>
                </a:cubicBezTo>
              </a:path>
              <a:path w="43200" h="38440" stroke="0" extrusionOk="0">
                <a:moveTo>
                  <a:pt x="8070" y="38438"/>
                </a:moveTo>
                <a:cubicBezTo>
                  <a:pt x="2968" y="34338"/>
                  <a:pt x="0" y="28145"/>
                  <a:pt x="0" y="21600"/>
                </a:cubicBezTo>
                <a:cubicBezTo>
                  <a:pt x="0" y="9670"/>
                  <a:pt x="9670" y="0"/>
                  <a:pt x="21600" y="0"/>
                </a:cubicBezTo>
                <a:cubicBezTo>
                  <a:pt x="33529" y="0"/>
                  <a:pt x="43200" y="9670"/>
                  <a:pt x="43200" y="21600"/>
                </a:cubicBezTo>
                <a:cubicBezTo>
                  <a:pt x="43200" y="28146"/>
                  <a:pt x="40230" y="34340"/>
                  <a:pt x="35126" y="38439"/>
                </a:cubicBezTo>
                <a:lnTo>
                  <a:pt x="21600" y="21600"/>
                </a:lnTo>
                <a:lnTo>
                  <a:pt x="8070" y="38438"/>
                </a:lnTo>
                <a:close/>
              </a:path>
            </a:pathLst>
          </a:custGeom>
          <a:noFill/>
          <a:ln w="190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CCCCFF" mc:Ignorable="a14" a14:legacySpreadsheetColorIndex="31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60" name="Arc 3575">
            <a:extLst>
              <a:ext uri="{FF2B5EF4-FFF2-40B4-BE49-F238E27FC236}">
                <a16:creationId xmlns:a16="http://schemas.microsoft.com/office/drawing/2014/main" id="{00000000-0008-0000-0100-00003C000000}"/>
              </a:ext>
            </a:extLst>
          </xdr:cNvPr>
          <xdr:cNvSpPr>
            <a:spLocks noChangeAspect="1"/>
          </xdr:cNvSpPr>
        </xdr:nvSpPr>
        <xdr:spPr bwMode="auto">
          <a:xfrm>
            <a:off x="1061" y="1939"/>
            <a:ext cx="35" cy="39"/>
          </a:xfrm>
          <a:custGeom>
            <a:avLst/>
            <a:gdLst>
              <a:gd name="T0" fmla="*/ 0 w 43200"/>
              <a:gd name="T1" fmla="*/ 0 h 38263"/>
              <a:gd name="T2" fmla="*/ 0 w 43200"/>
              <a:gd name="T3" fmla="*/ 0 h 38263"/>
              <a:gd name="T4" fmla="*/ 0 w 43200"/>
              <a:gd name="T5" fmla="*/ 0 h 38263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43200" h="38263" fill="none" extrusionOk="0">
                <a:moveTo>
                  <a:pt x="26" y="22673"/>
                </a:moveTo>
                <a:cubicBezTo>
                  <a:pt x="8" y="22315"/>
                  <a:pt x="0" y="21957"/>
                  <a:pt x="0" y="21600"/>
                </a:cubicBezTo>
                <a:cubicBezTo>
                  <a:pt x="0" y="9670"/>
                  <a:pt x="9670" y="0"/>
                  <a:pt x="21600" y="0"/>
                </a:cubicBezTo>
                <a:cubicBezTo>
                  <a:pt x="33529" y="0"/>
                  <a:pt x="43200" y="9670"/>
                  <a:pt x="43200" y="21600"/>
                </a:cubicBezTo>
                <a:cubicBezTo>
                  <a:pt x="43200" y="28048"/>
                  <a:pt x="40318" y="34159"/>
                  <a:pt x="35344" y="38263"/>
                </a:cubicBezTo>
              </a:path>
              <a:path w="43200" h="38263" stroke="0" extrusionOk="0">
                <a:moveTo>
                  <a:pt x="26" y="22673"/>
                </a:moveTo>
                <a:cubicBezTo>
                  <a:pt x="8" y="22315"/>
                  <a:pt x="0" y="21957"/>
                  <a:pt x="0" y="21600"/>
                </a:cubicBezTo>
                <a:cubicBezTo>
                  <a:pt x="0" y="9670"/>
                  <a:pt x="9670" y="0"/>
                  <a:pt x="21600" y="0"/>
                </a:cubicBezTo>
                <a:cubicBezTo>
                  <a:pt x="33529" y="0"/>
                  <a:pt x="43200" y="9670"/>
                  <a:pt x="43200" y="21600"/>
                </a:cubicBezTo>
                <a:cubicBezTo>
                  <a:pt x="43200" y="28048"/>
                  <a:pt x="40318" y="34159"/>
                  <a:pt x="35344" y="38263"/>
                </a:cubicBezTo>
                <a:lnTo>
                  <a:pt x="21600" y="21600"/>
                </a:lnTo>
                <a:lnTo>
                  <a:pt x="26" y="22673"/>
                </a:lnTo>
                <a:close/>
              </a:path>
            </a:pathLst>
          </a:custGeom>
          <a:noFill/>
          <a:ln w="190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CCCCFF" mc:Ignorable="a14" a14:legacySpreadsheetColorIndex="31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/>
  </xdr:twoCellAnchor>
  <xdr:twoCellAnchor>
    <xdr:from>
      <xdr:col>29</xdr:col>
      <xdr:colOff>133350</xdr:colOff>
      <xdr:row>26</xdr:row>
      <xdr:rowOff>152400</xdr:rowOff>
    </xdr:from>
    <xdr:to>
      <xdr:col>30</xdr:col>
      <xdr:colOff>28575</xdr:colOff>
      <xdr:row>27</xdr:row>
      <xdr:rowOff>47625</xdr:rowOff>
    </xdr:to>
    <xdr:sp macro="" textlink="">
      <xdr:nvSpPr>
        <xdr:cNvPr id="61" name="Oval 4000">
          <a:extLst>
            <a:ext uri="{FF2B5EF4-FFF2-40B4-BE49-F238E27FC236}">
              <a16:creationId xmlns:a16="http://schemas.microsoft.com/office/drawing/2014/main" id="{00000000-0008-0000-0100-00003D000000}"/>
            </a:ext>
          </a:extLst>
        </xdr:cNvPr>
        <xdr:cNvSpPr>
          <a:spLocks noChangeArrowheads="1"/>
        </xdr:cNvSpPr>
      </xdr:nvSpPr>
      <xdr:spPr bwMode="auto">
        <a:xfrm>
          <a:off x="5648325" y="5105400"/>
          <a:ext cx="85725" cy="8572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13</xdr:col>
      <xdr:colOff>161925</xdr:colOff>
      <xdr:row>8</xdr:row>
      <xdr:rowOff>0</xdr:rowOff>
    </xdr:from>
    <xdr:to>
      <xdr:col>15</xdr:col>
      <xdr:colOff>0</xdr:colOff>
      <xdr:row>10</xdr:row>
      <xdr:rowOff>171450</xdr:rowOff>
    </xdr:to>
    <xdr:sp macro="" textlink="">
      <xdr:nvSpPr>
        <xdr:cNvPr id="62" name="Freeform 3821">
          <a:extLst>
            <a:ext uri="{FF2B5EF4-FFF2-40B4-BE49-F238E27FC236}">
              <a16:creationId xmlns:a16="http://schemas.microsoft.com/office/drawing/2014/main" id="{00000000-0008-0000-0100-00003E000000}"/>
            </a:ext>
          </a:extLst>
        </xdr:cNvPr>
        <xdr:cNvSpPr>
          <a:spLocks/>
        </xdr:cNvSpPr>
      </xdr:nvSpPr>
      <xdr:spPr bwMode="auto">
        <a:xfrm>
          <a:off x="2628900" y="1524000"/>
          <a:ext cx="219075" cy="552450"/>
        </a:xfrm>
        <a:custGeom>
          <a:avLst/>
          <a:gdLst>
            <a:gd name="T0" fmla="*/ 0 w 160"/>
            <a:gd name="T1" fmla="*/ 0 h 84"/>
            <a:gd name="T2" fmla="*/ 2147483647 w 160"/>
            <a:gd name="T3" fmla="*/ 0 h 84"/>
            <a:gd name="T4" fmla="*/ 2147483647 w 160"/>
            <a:gd name="T5" fmla="*/ 2147483647 h 84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160" h="84">
              <a:moveTo>
                <a:pt x="0" y="0"/>
              </a:moveTo>
              <a:lnTo>
                <a:pt x="160" y="0"/>
              </a:lnTo>
              <a:lnTo>
                <a:pt x="160" y="84"/>
              </a:lnTo>
            </a:path>
          </a:pathLst>
        </a:custGeom>
        <a:noFill/>
        <a:ln w="19050" cap="flat" cmpd="sng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0</xdr:colOff>
      <xdr:row>8</xdr:row>
      <xdr:rowOff>0</xdr:rowOff>
    </xdr:from>
    <xdr:to>
      <xdr:col>7</xdr:col>
      <xdr:colOff>0</xdr:colOff>
      <xdr:row>10</xdr:row>
      <xdr:rowOff>171450</xdr:rowOff>
    </xdr:to>
    <xdr:sp macro="" textlink="">
      <xdr:nvSpPr>
        <xdr:cNvPr id="63" name="Freeform 3821">
          <a:extLs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SpPr>
          <a:spLocks/>
        </xdr:cNvSpPr>
      </xdr:nvSpPr>
      <xdr:spPr bwMode="auto">
        <a:xfrm flipH="1">
          <a:off x="952500" y="1524000"/>
          <a:ext cx="381000" cy="552450"/>
        </a:xfrm>
        <a:custGeom>
          <a:avLst/>
          <a:gdLst>
            <a:gd name="T0" fmla="*/ 0 w 160"/>
            <a:gd name="T1" fmla="*/ 0 h 84"/>
            <a:gd name="T2" fmla="*/ 2147483647 w 160"/>
            <a:gd name="T3" fmla="*/ 0 h 84"/>
            <a:gd name="T4" fmla="*/ 2147483647 w 160"/>
            <a:gd name="T5" fmla="*/ 2147483647 h 84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160" h="84">
              <a:moveTo>
                <a:pt x="0" y="0"/>
              </a:moveTo>
              <a:lnTo>
                <a:pt x="160" y="0"/>
              </a:lnTo>
              <a:lnTo>
                <a:pt x="160" y="84"/>
              </a:lnTo>
            </a:path>
          </a:pathLst>
        </a:custGeom>
        <a:noFill/>
        <a:ln w="19050" cap="flat" cmpd="sng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23</xdr:col>
      <xdr:colOff>142875</xdr:colOff>
      <xdr:row>8</xdr:row>
      <xdr:rowOff>0</xdr:rowOff>
    </xdr:from>
    <xdr:to>
      <xdr:col>25</xdr:col>
      <xdr:colOff>19050</xdr:colOff>
      <xdr:row>10</xdr:row>
      <xdr:rowOff>171450</xdr:rowOff>
    </xdr:to>
    <xdr:sp macro="" textlink="">
      <xdr:nvSpPr>
        <xdr:cNvPr id="64" name="Freeform 3821">
          <a:extLst>
            <a:ext uri="{FF2B5EF4-FFF2-40B4-BE49-F238E27FC236}">
              <a16:creationId xmlns:a16="http://schemas.microsoft.com/office/drawing/2014/main" id="{00000000-0008-0000-0100-000040000000}"/>
            </a:ext>
          </a:extLst>
        </xdr:cNvPr>
        <xdr:cNvSpPr>
          <a:spLocks/>
        </xdr:cNvSpPr>
      </xdr:nvSpPr>
      <xdr:spPr bwMode="auto">
        <a:xfrm>
          <a:off x="4514850" y="1524000"/>
          <a:ext cx="257175" cy="552450"/>
        </a:xfrm>
        <a:custGeom>
          <a:avLst/>
          <a:gdLst>
            <a:gd name="T0" fmla="*/ 0 w 160"/>
            <a:gd name="T1" fmla="*/ 0 h 84"/>
            <a:gd name="T2" fmla="*/ 2147483647 w 160"/>
            <a:gd name="T3" fmla="*/ 0 h 84"/>
            <a:gd name="T4" fmla="*/ 2147483647 w 160"/>
            <a:gd name="T5" fmla="*/ 2147483647 h 84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160" h="84">
              <a:moveTo>
                <a:pt x="0" y="0"/>
              </a:moveTo>
              <a:lnTo>
                <a:pt x="160" y="0"/>
              </a:lnTo>
              <a:lnTo>
                <a:pt x="160" y="84"/>
              </a:lnTo>
            </a:path>
          </a:pathLst>
        </a:custGeom>
        <a:noFill/>
        <a:ln w="19050" cap="flat" cmpd="sng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8</xdr:col>
      <xdr:colOff>123825</xdr:colOff>
      <xdr:row>11</xdr:row>
      <xdr:rowOff>0</xdr:rowOff>
    </xdr:from>
    <xdr:to>
      <xdr:col>11</xdr:col>
      <xdr:colOff>19050</xdr:colOff>
      <xdr:row>11</xdr:row>
      <xdr:rowOff>0</xdr:rowOff>
    </xdr:to>
    <xdr:sp macro="" textlink="">
      <xdr:nvSpPr>
        <xdr:cNvPr id="65" name="Line 2250">
          <a:extLst>
            <a:ext uri="{FF2B5EF4-FFF2-40B4-BE49-F238E27FC236}">
              <a16:creationId xmlns:a16="http://schemas.microsoft.com/office/drawing/2014/main" id="{00000000-0008-0000-0100-000041000000}"/>
            </a:ext>
          </a:extLst>
        </xdr:cNvPr>
        <xdr:cNvSpPr>
          <a:spLocks noChangeShapeType="1"/>
        </xdr:cNvSpPr>
      </xdr:nvSpPr>
      <xdr:spPr bwMode="auto">
        <a:xfrm>
          <a:off x="1647825" y="2095500"/>
          <a:ext cx="45720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142875</xdr:colOff>
      <xdr:row>11</xdr:row>
      <xdr:rowOff>0</xdr:rowOff>
    </xdr:from>
    <xdr:to>
      <xdr:col>16</xdr:col>
      <xdr:colOff>38100</xdr:colOff>
      <xdr:row>11</xdr:row>
      <xdr:rowOff>0</xdr:rowOff>
    </xdr:to>
    <xdr:sp macro="" textlink="">
      <xdr:nvSpPr>
        <xdr:cNvPr id="66" name="Line 2250">
          <a:extLst>
            <a:ext uri="{FF2B5EF4-FFF2-40B4-BE49-F238E27FC236}">
              <a16:creationId xmlns:a16="http://schemas.microsoft.com/office/drawing/2014/main" id="{00000000-0008-0000-0100-000042000000}"/>
            </a:ext>
          </a:extLst>
        </xdr:cNvPr>
        <xdr:cNvSpPr>
          <a:spLocks noChangeShapeType="1"/>
        </xdr:cNvSpPr>
      </xdr:nvSpPr>
      <xdr:spPr bwMode="auto">
        <a:xfrm>
          <a:off x="2609850" y="2095500"/>
          <a:ext cx="466725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104775</xdr:colOff>
      <xdr:row>11</xdr:row>
      <xdr:rowOff>0</xdr:rowOff>
    </xdr:from>
    <xdr:to>
      <xdr:col>21</xdr:col>
      <xdr:colOff>0</xdr:colOff>
      <xdr:row>11</xdr:row>
      <xdr:rowOff>0</xdr:rowOff>
    </xdr:to>
    <xdr:sp macro="" textlink="">
      <xdr:nvSpPr>
        <xdr:cNvPr id="67" name="Line 2250">
          <a:extLst>
            <a:ext uri="{FF2B5EF4-FFF2-40B4-BE49-F238E27FC236}">
              <a16:creationId xmlns:a16="http://schemas.microsoft.com/office/drawing/2014/main" id="{00000000-0008-0000-0100-000043000000}"/>
            </a:ext>
          </a:extLst>
        </xdr:cNvPr>
        <xdr:cNvSpPr>
          <a:spLocks noChangeShapeType="1"/>
        </xdr:cNvSpPr>
      </xdr:nvSpPr>
      <xdr:spPr bwMode="auto">
        <a:xfrm>
          <a:off x="3524250" y="2095500"/>
          <a:ext cx="466725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180975</xdr:colOff>
      <xdr:row>8</xdr:row>
      <xdr:rowOff>0</xdr:rowOff>
    </xdr:from>
    <xdr:to>
      <xdr:col>17</xdr:col>
      <xdr:colOff>76200</xdr:colOff>
      <xdr:row>8</xdr:row>
      <xdr:rowOff>0</xdr:rowOff>
    </xdr:to>
    <xdr:sp macro="" textlink="">
      <xdr:nvSpPr>
        <xdr:cNvPr id="68" name="Line 2250">
          <a:extLst>
            <a:ext uri="{FF2B5EF4-FFF2-40B4-BE49-F238E27FC236}">
              <a16:creationId xmlns:a16="http://schemas.microsoft.com/office/drawing/2014/main" id="{00000000-0008-0000-0100-000044000000}"/>
            </a:ext>
          </a:extLst>
        </xdr:cNvPr>
        <xdr:cNvSpPr>
          <a:spLocks noChangeShapeType="1"/>
        </xdr:cNvSpPr>
      </xdr:nvSpPr>
      <xdr:spPr bwMode="auto">
        <a:xfrm>
          <a:off x="2838450" y="1524000"/>
          <a:ext cx="466725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24</xdr:col>
      <xdr:colOff>180975</xdr:colOff>
      <xdr:row>10</xdr:row>
      <xdr:rowOff>142875</xdr:rowOff>
    </xdr:from>
    <xdr:to>
      <xdr:col>25</xdr:col>
      <xdr:colOff>76200</xdr:colOff>
      <xdr:row>11</xdr:row>
      <xdr:rowOff>38100</xdr:rowOff>
    </xdr:to>
    <xdr:sp macro="" textlink="">
      <xdr:nvSpPr>
        <xdr:cNvPr id="69" name="Oval 4848">
          <a:extLst>
            <a:ext uri="{FF2B5EF4-FFF2-40B4-BE49-F238E27FC236}">
              <a16:creationId xmlns:a16="http://schemas.microsoft.com/office/drawing/2014/main" id="{00000000-0008-0000-0100-000045000000}"/>
            </a:ext>
          </a:extLst>
        </xdr:cNvPr>
        <xdr:cNvSpPr>
          <a:spLocks noChangeArrowheads="1"/>
        </xdr:cNvSpPr>
      </xdr:nvSpPr>
      <xdr:spPr bwMode="auto">
        <a:xfrm>
          <a:off x="4743450" y="2047875"/>
          <a:ext cx="85725" cy="8572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14</xdr:col>
      <xdr:colOff>161925</xdr:colOff>
      <xdr:row>10</xdr:row>
      <xdr:rowOff>142875</xdr:rowOff>
    </xdr:from>
    <xdr:to>
      <xdr:col>15</xdr:col>
      <xdr:colOff>57150</xdr:colOff>
      <xdr:row>11</xdr:row>
      <xdr:rowOff>38100</xdr:rowOff>
    </xdr:to>
    <xdr:sp macro="" textlink="">
      <xdr:nvSpPr>
        <xdr:cNvPr id="70" name="Oval 4848">
          <a:extLst>
            <a:ext uri="{FF2B5EF4-FFF2-40B4-BE49-F238E27FC236}">
              <a16:creationId xmlns:a16="http://schemas.microsoft.com/office/drawing/2014/main" id="{00000000-0008-0000-0100-000046000000}"/>
            </a:ext>
          </a:extLst>
        </xdr:cNvPr>
        <xdr:cNvSpPr>
          <a:spLocks noChangeArrowheads="1"/>
        </xdr:cNvSpPr>
      </xdr:nvSpPr>
      <xdr:spPr bwMode="auto">
        <a:xfrm>
          <a:off x="2819400" y="2047875"/>
          <a:ext cx="85725" cy="8572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14</xdr:col>
      <xdr:colOff>142875</xdr:colOff>
      <xdr:row>7</xdr:row>
      <xdr:rowOff>142875</xdr:rowOff>
    </xdr:from>
    <xdr:to>
      <xdr:col>15</xdr:col>
      <xdr:colOff>38100</xdr:colOff>
      <xdr:row>8</xdr:row>
      <xdr:rowOff>38100</xdr:rowOff>
    </xdr:to>
    <xdr:sp macro="" textlink="">
      <xdr:nvSpPr>
        <xdr:cNvPr id="71" name="Oval 4848">
          <a:extLst>
            <a:ext uri="{FF2B5EF4-FFF2-40B4-BE49-F238E27FC236}">
              <a16:creationId xmlns:a16="http://schemas.microsoft.com/office/drawing/2014/main" id="{00000000-0008-0000-0100-000047000000}"/>
            </a:ext>
          </a:extLst>
        </xdr:cNvPr>
        <xdr:cNvSpPr>
          <a:spLocks noChangeArrowheads="1"/>
        </xdr:cNvSpPr>
      </xdr:nvSpPr>
      <xdr:spPr bwMode="auto">
        <a:xfrm>
          <a:off x="2800350" y="1476375"/>
          <a:ext cx="85725" cy="8572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4</xdr:col>
      <xdr:colOff>142875</xdr:colOff>
      <xdr:row>10</xdr:row>
      <xdr:rowOff>142875</xdr:rowOff>
    </xdr:from>
    <xdr:to>
      <xdr:col>5</xdr:col>
      <xdr:colOff>38100</xdr:colOff>
      <xdr:row>11</xdr:row>
      <xdr:rowOff>38100</xdr:rowOff>
    </xdr:to>
    <xdr:sp macro="" textlink="">
      <xdr:nvSpPr>
        <xdr:cNvPr id="72" name="Oval 4848">
          <a:extLst>
            <a:ext uri="{FF2B5EF4-FFF2-40B4-BE49-F238E27FC236}">
              <a16:creationId xmlns:a16="http://schemas.microsoft.com/office/drawing/2014/main" id="{00000000-0008-0000-0100-000048000000}"/>
            </a:ext>
          </a:extLst>
        </xdr:cNvPr>
        <xdr:cNvSpPr>
          <a:spLocks noChangeArrowheads="1"/>
        </xdr:cNvSpPr>
      </xdr:nvSpPr>
      <xdr:spPr bwMode="auto">
        <a:xfrm>
          <a:off x="904875" y="2047875"/>
          <a:ext cx="85725" cy="8572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9</xdr:col>
      <xdr:colOff>85725</xdr:colOff>
      <xdr:row>12</xdr:row>
      <xdr:rowOff>180975</xdr:rowOff>
    </xdr:from>
    <xdr:to>
      <xdr:col>10</xdr:col>
      <xdr:colOff>104775</xdr:colOff>
      <xdr:row>15</xdr:row>
      <xdr:rowOff>57150</xdr:rowOff>
    </xdr:to>
    <xdr:grpSp>
      <xdr:nvGrpSpPr>
        <xdr:cNvPr id="73" name="Group 3972">
          <a:extLst>
            <a:ext uri="{FF2B5EF4-FFF2-40B4-BE49-F238E27FC236}">
              <a16:creationId xmlns:a16="http://schemas.microsoft.com/office/drawing/2014/main" id="{00000000-0008-0000-0100-000049000000}"/>
            </a:ext>
          </a:extLst>
        </xdr:cNvPr>
        <xdr:cNvGrpSpPr>
          <a:grpSpLocks/>
        </xdr:cNvGrpSpPr>
      </xdr:nvGrpSpPr>
      <xdr:grpSpPr bwMode="auto">
        <a:xfrm>
          <a:off x="1800225" y="2466975"/>
          <a:ext cx="209550" cy="447675"/>
          <a:chOff x="1788" y="432"/>
          <a:chExt cx="22" cy="47"/>
        </a:xfrm>
      </xdr:grpSpPr>
      <xdr:sp macro="" textlink="">
        <xdr:nvSpPr>
          <xdr:cNvPr id="74" name="Line 3973">
            <a:extLst>
              <a:ext uri="{FF2B5EF4-FFF2-40B4-BE49-F238E27FC236}">
                <a16:creationId xmlns:a16="http://schemas.microsoft.com/office/drawing/2014/main" id="{00000000-0008-0000-0100-00004A000000}"/>
              </a:ext>
            </a:extLst>
          </xdr:cNvPr>
          <xdr:cNvSpPr>
            <a:spLocks noChangeAspect="1" noChangeShapeType="1"/>
          </xdr:cNvSpPr>
        </xdr:nvSpPr>
        <xdr:spPr bwMode="auto">
          <a:xfrm rot="10800000">
            <a:off x="1799" y="445"/>
            <a:ext cx="11" cy="3"/>
          </a:xfrm>
          <a:prstGeom prst="line">
            <a:avLst/>
          </a:prstGeom>
          <a:noFill/>
          <a:ln w="190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5" name="Line 3974">
            <a:extLst>
              <a:ext uri="{FF2B5EF4-FFF2-40B4-BE49-F238E27FC236}">
                <a16:creationId xmlns:a16="http://schemas.microsoft.com/office/drawing/2014/main" id="{00000000-0008-0000-0100-00004B000000}"/>
              </a:ext>
            </a:extLst>
          </xdr:cNvPr>
          <xdr:cNvSpPr>
            <a:spLocks noChangeAspect="1" noChangeShapeType="1"/>
          </xdr:cNvSpPr>
        </xdr:nvSpPr>
        <xdr:spPr bwMode="auto">
          <a:xfrm rot="10800000" flipV="1">
            <a:off x="1788" y="448"/>
            <a:ext cx="22" cy="6"/>
          </a:xfrm>
          <a:prstGeom prst="line">
            <a:avLst/>
          </a:prstGeom>
          <a:noFill/>
          <a:ln w="190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6" name="Line 3975">
            <a:extLst>
              <a:ext uri="{FF2B5EF4-FFF2-40B4-BE49-F238E27FC236}">
                <a16:creationId xmlns:a16="http://schemas.microsoft.com/office/drawing/2014/main" id="{00000000-0008-0000-0100-00004C000000}"/>
              </a:ext>
            </a:extLst>
          </xdr:cNvPr>
          <xdr:cNvSpPr>
            <a:spLocks noChangeAspect="1" noChangeShapeType="1"/>
          </xdr:cNvSpPr>
        </xdr:nvSpPr>
        <xdr:spPr bwMode="auto">
          <a:xfrm rot="10800000">
            <a:off x="1788" y="454"/>
            <a:ext cx="22" cy="5"/>
          </a:xfrm>
          <a:prstGeom prst="line">
            <a:avLst/>
          </a:prstGeom>
          <a:noFill/>
          <a:ln w="190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7" name="Line 3976">
            <a:extLst>
              <a:ext uri="{FF2B5EF4-FFF2-40B4-BE49-F238E27FC236}">
                <a16:creationId xmlns:a16="http://schemas.microsoft.com/office/drawing/2014/main" id="{00000000-0008-0000-0100-00004D000000}"/>
              </a:ext>
            </a:extLst>
          </xdr:cNvPr>
          <xdr:cNvSpPr>
            <a:spLocks noChangeAspect="1" noChangeShapeType="1"/>
          </xdr:cNvSpPr>
        </xdr:nvSpPr>
        <xdr:spPr bwMode="auto">
          <a:xfrm rot="10800000" flipV="1">
            <a:off x="1788" y="459"/>
            <a:ext cx="22" cy="6"/>
          </a:xfrm>
          <a:prstGeom prst="line">
            <a:avLst/>
          </a:prstGeom>
          <a:noFill/>
          <a:ln w="190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8" name="Line 3977">
            <a:extLst>
              <a:ext uri="{FF2B5EF4-FFF2-40B4-BE49-F238E27FC236}">
                <a16:creationId xmlns:a16="http://schemas.microsoft.com/office/drawing/2014/main" id="{00000000-0008-0000-0100-00004E000000}"/>
              </a:ext>
            </a:extLst>
          </xdr:cNvPr>
          <xdr:cNvSpPr>
            <a:spLocks noChangeAspect="1" noChangeShapeType="1"/>
          </xdr:cNvSpPr>
        </xdr:nvSpPr>
        <xdr:spPr bwMode="auto">
          <a:xfrm rot="10800000">
            <a:off x="1788" y="465"/>
            <a:ext cx="22" cy="5"/>
          </a:xfrm>
          <a:prstGeom prst="line">
            <a:avLst/>
          </a:prstGeom>
          <a:noFill/>
          <a:ln w="190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9" name="Line 3978">
            <a:extLst>
              <a:ext uri="{FF2B5EF4-FFF2-40B4-BE49-F238E27FC236}">
                <a16:creationId xmlns:a16="http://schemas.microsoft.com/office/drawing/2014/main" id="{00000000-0008-0000-0100-00004F000000}"/>
              </a:ext>
            </a:extLst>
          </xdr:cNvPr>
          <xdr:cNvSpPr>
            <a:spLocks noChangeAspect="1" noChangeShapeType="1"/>
          </xdr:cNvSpPr>
        </xdr:nvSpPr>
        <xdr:spPr bwMode="auto">
          <a:xfrm rot="10800000" flipV="1">
            <a:off x="1788" y="470"/>
            <a:ext cx="22" cy="6"/>
          </a:xfrm>
          <a:prstGeom prst="line">
            <a:avLst/>
          </a:prstGeom>
          <a:noFill/>
          <a:ln w="190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0" name="Line 3979">
            <a:extLst>
              <a:ext uri="{FF2B5EF4-FFF2-40B4-BE49-F238E27FC236}">
                <a16:creationId xmlns:a16="http://schemas.microsoft.com/office/drawing/2014/main" id="{00000000-0008-0000-0100-000050000000}"/>
              </a:ext>
            </a:extLst>
          </xdr:cNvPr>
          <xdr:cNvSpPr>
            <a:spLocks noChangeAspect="1" noChangeShapeType="1"/>
          </xdr:cNvSpPr>
        </xdr:nvSpPr>
        <xdr:spPr bwMode="auto">
          <a:xfrm rot="10800000">
            <a:off x="1788" y="476"/>
            <a:ext cx="11" cy="3"/>
          </a:xfrm>
          <a:prstGeom prst="line">
            <a:avLst/>
          </a:prstGeom>
          <a:noFill/>
          <a:ln w="190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1" name="Line 3980">
            <a:extLst>
              <a:ext uri="{FF2B5EF4-FFF2-40B4-BE49-F238E27FC236}">
                <a16:creationId xmlns:a16="http://schemas.microsoft.com/office/drawing/2014/main" id="{00000000-0008-0000-0100-000051000000}"/>
              </a:ext>
            </a:extLst>
          </xdr:cNvPr>
          <xdr:cNvSpPr>
            <a:spLocks noChangeAspect="1" noChangeShapeType="1"/>
          </xdr:cNvSpPr>
        </xdr:nvSpPr>
        <xdr:spPr bwMode="auto">
          <a:xfrm rot="10800000">
            <a:off x="1799" y="432"/>
            <a:ext cx="0" cy="14"/>
          </a:xfrm>
          <a:prstGeom prst="line">
            <a:avLst/>
          </a:prstGeom>
          <a:noFill/>
          <a:ln w="190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12</xdr:col>
      <xdr:colOff>85725</xdr:colOff>
      <xdr:row>20</xdr:row>
      <xdr:rowOff>66675</xdr:rowOff>
    </xdr:from>
    <xdr:to>
      <xdr:col>13</xdr:col>
      <xdr:colOff>104775</xdr:colOff>
      <xdr:row>22</xdr:row>
      <xdr:rowOff>133350</xdr:rowOff>
    </xdr:to>
    <xdr:grpSp>
      <xdr:nvGrpSpPr>
        <xdr:cNvPr id="82" name="Group 3972">
          <a:extLst>
            <a:ext uri="{FF2B5EF4-FFF2-40B4-BE49-F238E27FC236}">
              <a16:creationId xmlns:a16="http://schemas.microsoft.com/office/drawing/2014/main" id="{00000000-0008-0000-0100-000052000000}"/>
            </a:ext>
          </a:extLst>
        </xdr:cNvPr>
        <xdr:cNvGrpSpPr>
          <a:grpSpLocks/>
        </xdr:cNvGrpSpPr>
      </xdr:nvGrpSpPr>
      <xdr:grpSpPr bwMode="auto">
        <a:xfrm>
          <a:off x="2371725" y="3876675"/>
          <a:ext cx="209550" cy="447675"/>
          <a:chOff x="1788" y="432"/>
          <a:chExt cx="22" cy="47"/>
        </a:xfrm>
      </xdr:grpSpPr>
      <xdr:sp macro="" textlink="">
        <xdr:nvSpPr>
          <xdr:cNvPr id="83" name="Line 3973">
            <a:extLst>
              <a:ext uri="{FF2B5EF4-FFF2-40B4-BE49-F238E27FC236}">
                <a16:creationId xmlns:a16="http://schemas.microsoft.com/office/drawing/2014/main" id="{00000000-0008-0000-0100-000053000000}"/>
              </a:ext>
            </a:extLst>
          </xdr:cNvPr>
          <xdr:cNvSpPr>
            <a:spLocks noChangeAspect="1" noChangeShapeType="1"/>
          </xdr:cNvSpPr>
        </xdr:nvSpPr>
        <xdr:spPr bwMode="auto">
          <a:xfrm rot="10800000">
            <a:off x="1799" y="445"/>
            <a:ext cx="11" cy="3"/>
          </a:xfrm>
          <a:prstGeom prst="line">
            <a:avLst/>
          </a:prstGeom>
          <a:noFill/>
          <a:ln w="190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4" name="Line 3974">
            <a:extLst>
              <a:ext uri="{FF2B5EF4-FFF2-40B4-BE49-F238E27FC236}">
                <a16:creationId xmlns:a16="http://schemas.microsoft.com/office/drawing/2014/main" id="{00000000-0008-0000-0100-000054000000}"/>
              </a:ext>
            </a:extLst>
          </xdr:cNvPr>
          <xdr:cNvSpPr>
            <a:spLocks noChangeAspect="1" noChangeShapeType="1"/>
          </xdr:cNvSpPr>
        </xdr:nvSpPr>
        <xdr:spPr bwMode="auto">
          <a:xfrm rot="10800000" flipV="1">
            <a:off x="1788" y="448"/>
            <a:ext cx="22" cy="6"/>
          </a:xfrm>
          <a:prstGeom prst="line">
            <a:avLst/>
          </a:prstGeom>
          <a:noFill/>
          <a:ln w="190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5" name="Line 3975">
            <a:extLst>
              <a:ext uri="{FF2B5EF4-FFF2-40B4-BE49-F238E27FC236}">
                <a16:creationId xmlns:a16="http://schemas.microsoft.com/office/drawing/2014/main" id="{00000000-0008-0000-0100-000055000000}"/>
              </a:ext>
            </a:extLst>
          </xdr:cNvPr>
          <xdr:cNvSpPr>
            <a:spLocks noChangeAspect="1" noChangeShapeType="1"/>
          </xdr:cNvSpPr>
        </xdr:nvSpPr>
        <xdr:spPr bwMode="auto">
          <a:xfrm rot="10800000">
            <a:off x="1788" y="454"/>
            <a:ext cx="22" cy="5"/>
          </a:xfrm>
          <a:prstGeom prst="line">
            <a:avLst/>
          </a:prstGeom>
          <a:noFill/>
          <a:ln w="190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6" name="Line 3976">
            <a:extLst>
              <a:ext uri="{FF2B5EF4-FFF2-40B4-BE49-F238E27FC236}">
                <a16:creationId xmlns:a16="http://schemas.microsoft.com/office/drawing/2014/main" id="{00000000-0008-0000-0100-000056000000}"/>
              </a:ext>
            </a:extLst>
          </xdr:cNvPr>
          <xdr:cNvSpPr>
            <a:spLocks noChangeAspect="1" noChangeShapeType="1"/>
          </xdr:cNvSpPr>
        </xdr:nvSpPr>
        <xdr:spPr bwMode="auto">
          <a:xfrm rot="10800000" flipV="1">
            <a:off x="1788" y="459"/>
            <a:ext cx="22" cy="6"/>
          </a:xfrm>
          <a:prstGeom prst="line">
            <a:avLst/>
          </a:prstGeom>
          <a:noFill/>
          <a:ln w="190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7" name="Line 3977">
            <a:extLst>
              <a:ext uri="{FF2B5EF4-FFF2-40B4-BE49-F238E27FC236}">
                <a16:creationId xmlns:a16="http://schemas.microsoft.com/office/drawing/2014/main" id="{00000000-0008-0000-0100-000057000000}"/>
              </a:ext>
            </a:extLst>
          </xdr:cNvPr>
          <xdr:cNvSpPr>
            <a:spLocks noChangeAspect="1" noChangeShapeType="1"/>
          </xdr:cNvSpPr>
        </xdr:nvSpPr>
        <xdr:spPr bwMode="auto">
          <a:xfrm rot="10800000">
            <a:off x="1788" y="465"/>
            <a:ext cx="22" cy="5"/>
          </a:xfrm>
          <a:prstGeom prst="line">
            <a:avLst/>
          </a:prstGeom>
          <a:noFill/>
          <a:ln w="190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8" name="Line 3978">
            <a:extLst>
              <a:ext uri="{FF2B5EF4-FFF2-40B4-BE49-F238E27FC236}">
                <a16:creationId xmlns:a16="http://schemas.microsoft.com/office/drawing/2014/main" id="{00000000-0008-0000-0100-000058000000}"/>
              </a:ext>
            </a:extLst>
          </xdr:cNvPr>
          <xdr:cNvSpPr>
            <a:spLocks noChangeAspect="1" noChangeShapeType="1"/>
          </xdr:cNvSpPr>
        </xdr:nvSpPr>
        <xdr:spPr bwMode="auto">
          <a:xfrm rot="10800000" flipV="1">
            <a:off x="1788" y="470"/>
            <a:ext cx="22" cy="6"/>
          </a:xfrm>
          <a:prstGeom prst="line">
            <a:avLst/>
          </a:prstGeom>
          <a:noFill/>
          <a:ln w="190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" name="Line 3979">
            <a:extLst>
              <a:ext uri="{FF2B5EF4-FFF2-40B4-BE49-F238E27FC236}">
                <a16:creationId xmlns:a16="http://schemas.microsoft.com/office/drawing/2014/main" id="{00000000-0008-0000-0100-000059000000}"/>
              </a:ext>
            </a:extLst>
          </xdr:cNvPr>
          <xdr:cNvSpPr>
            <a:spLocks noChangeAspect="1" noChangeShapeType="1"/>
          </xdr:cNvSpPr>
        </xdr:nvSpPr>
        <xdr:spPr bwMode="auto">
          <a:xfrm rot="10800000">
            <a:off x="1788" y="476"/>
            <a:ext cx="11" cy="3"/>
          </a:xfrm>
          <a:prstGeom prst="line">
            <a:avLst/>
          </a:prstGeom>
          <a:noFill/>
          <a:ln w="190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0" name="Line 3980">
            <a:extLst>
              <a:ext uri="{FF2B5EF4-FFF2-40B4-BE49-F238E27FC236}">
                <a16:creationId xmlns:a16="http://schemas.microsoft.com/office/drawing/2014/main" id="{00000000-0008-0000-0100-00005A000000}"/>
              </a:ext>
            </a:extLst>
          </xdr:cNvPr>
          <xdr:cNvSpPr>
            <a:spLocks noChangeAspect="1" noChangeShapeType="1"/>
          </xdr:cNvSpPr>
        </xdr:nvSpPr>
        <xdr:spPr bwMode="auto">
          <a:xfrm rot="10800000">
            <a:off x="1799" y="432"/>
            <a:ext cx="0" cy="14"/>
          </a:xfrm>
          <a:prstGeom prst="line">
            <a:avLst/>
          </a:prstGeom>
          <a:noFill/>
          <a:ln w="190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9</xdr:col>
      <xdr:colOff>38100</xdr:colOff>
      <xdr:row>21</xdr:row>
      <xdr:rowOff>114300</xdr:rowOff>
    </xdr:from>
    <xdr:to>
      <xdr:col>10</xdr:col>
      <xdr:colOff>152400</xdr:colOff>
      <xdr:row>22</xdr:row>
      <xdr:rowOff>66675</xdr:rowOff>
    </xdr:to>
    <xdr:grpSp>
      <xdr:nvGrpSpPr>
        <xdr:cNvPr id="91" name="Group 4640">
          <a:extLst>
            <a:ext uri="{FF2B5EF4-FFF2-40B4-BE49-F238E27FC236}">
              <a16:creationId xmlns:a16="http://schemas.microsoft.com/office/drawing/2014/main" id="{00000000-0008-0000-0100-00005B000000}"/>
            </a:ext>
          </a:extLst>
        </xdr:cNvPr>
        <xdr:cNvGrpSpPr>
          <a:grpSpLocks noChangeAspect="1"/>
        </xdr:cNvGrpSpPr>
      </xdr:nvGrpSpPr>
      <xdr:grpSpPr bwMode="auto">
        <a:xfrm>
          <a:off x="1752600" y="4114800"/>
          <a:ext cx="304800" cy="142875"/>
          <a:chOff x="1491" y="181"/>
          <a:chExt cx="43" cy="21"/>
        </a:xfrm>
      </xdr:grpSpPr>
      <xdr:sp macro="" textlink="">
        <xdr:nvSpPr>
          <xdr:cNvPr id="92" name="Line 4641">
            <a:extLst>
              <a:ext uri="{FF2B5EF4-FFF2-40B4-BE49-F238E27FC236}">
                <a16:creationId xmlns:a16="http://schemas.microsoft.com/office/drawing/2014/main" id="{00000000-0008-0000-0100-00005C000000}"/>
              </a:ext>
            </a:extLst>
          </xdr:cNvPr>
          <xdr:cNvSpPr>
            <a:spLocks noChangeAspect="1" noChangeShapeType="1"/>
          </xdr:cNvSpPr>
        </xdr:nvSpPr>
        <xdr:spPr bwMode="auto">
          <a:xfrm>
            <a:off x="1491" y="181"/>
            <a:ext cx="43" cy="0"/>
          </a:xfrm>
          <a:prstGeom prst="line">
            <a:avLst/>
          </a:prstGeom>
          <a:noFill/>
          <a:ln w="190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3" name="Line 4642">
            <a:extLst>
              <a:ext uri="{FF2B5EF4-FFF2-40B4-BE49-F238E27FC236}">
                <a16:creationId xmlns:a16="http://schemas.microsoft.com/office/drawing/2014/main" id="{00000000-0008-0000-0100-00005D000000}"/>
              </a:ext>
            </a:extLst>
          </xdr:cNvPr>
          <xdr:cNvSpPr>
            <a:spLocks noChangeAspect="1" noChangeShapeType="1"/>
          </xdr:cNvSpPr>
        </xdr:nvSpPr>
        <xdr:spPr bwMode="auto">
          <a:xfrm>
            <a:off x="1491" y="202"/>
            <a:ext cx="43" cy="0"/>
          </a:xfrm>
          <a:prstGeom prst="line">
            <a:avLst/>
          </a:prstGeom>
          <a:noFill/>
          <a:ln w="190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/>
  </xdr:twoCellAnchor>
  <xdr:twoCellAnchor>
    <xdr:from>
      <xdr:col>10</xdr:col>
      <xdr:colOff>19050</xdr:colOff>
      <xdr:row>19</xdr:row>
      <xdr:rowOff>0</xdr:rowOff>
    </xdr:from>
    <xdr:to>
      <xdr:col>12</xdr:col>
      <xdr:colOff>190500</xdr:colOff>
      <xdr:row>20</xdr:row>
      <xdr:rowOff>76200</xdr:rowOff>
    </xdr:to>
    <xdr:sp macro="" textlink="">
      <xdr:nvSpPr>
        <xdr:cNvPr id="94" name="Freeform 3956">
          <a:extLst>
            <a:ext uri="{FF2B5EF4-FFF2-40B4-BE49-F238E27FC236}">
              <a16:creationId xmlns:a16="http://schemas.microsoft.com/office/drawing/2014/main" id="{00000000-0008-0000-0100-00005E000000}"/>
            </a:ext>
          </a:extLst>
        </xdr:cNvPr>
        <xdr:cNvSpPr>
          <a:spLocks/>
        </xdr:cNvSpPr>
      </xdr:nvSpPr>
      <xdr:spPr bwMode="auto">
        <a:xfrm>
          <a:off x="1914525" y="3619500"/>
          <a:ext cx="552450" cy="266700"/>
        </a:xfrm>
        <a:custGeom>
          <a:avLst/>
          <a:gdLst>
            <a:gd name="T0" fmla="*/ 0 w 160"/>
            <a:gd name="T1" fmla="*/ 0 h 84"/>
            <a:gd name="T2" fmla="*/ 2147483647 w 160"/>
            <a:gd name="T3" fmla="*/ 0 h 84"/>
            <a:gd name="T4" fmla="*/ 2147483647 w 160"/>
            <a:gd name="T5" fmla="*/ 2147483647 h 84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160" h="84">
              <a:moveTo>
                <a:pt x="0" y="0"/>
              </a:moveTo>
              <a:lnTo>
                <a:pt x="160" y="0"/>
              </a:lnTo>
              <a:lnTo>
                <a:pt x="160" y="84"/>
              </a:lnTo>
            </a:path>
          </a:pathLst>
        </a:custGeom>
        <a:noFill/>
        <a:ln w="19050" cap="flat" cmpd="sng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190500</xdr:colOff>
      <xdr:row>15</xdr:row>
      <xdr:rowOff>57150</xdr:rowOff>
    </xdr:from>
    <xdr:to>
      <xdr:col>9</xdr:col>
      <xdr:colOff>190500</xdr:colOff>
      <xdr:row>21</xdr:row>
      <xdr:rowOff>123825</xdr:rowOff>
    </xdr:to>
    <xdr:sp macro="" textlink="">
      <xdr:nvSpPr>
        <xdr:cNvPr id="95" name="Line 3986">
          <a:extLst>
            <a:ext uri="{FF2B5EF4-FFF2-40B4-BE49-F238E27FC236}">
              <a16:creationId xmlns:a16="http://schemas.microsoft.com/office/drawing/2014/main" id="{00000000-0008-0000-0100-00005F000000}"/>
            </a:ext>
          </a:extLst>
        </xdr:cNvPr>
        <xdr:cNvSpPr>
          <a:spLocks noChangeShapeType="1"/>
        </xdr:cNvSpPr>
      </xdr:nvSpPr>
      <xdr:spPr bwMode="auto">
        <a:xfrm flipH="1" flipV="1">
          <a:off x="1895475" y="2914650"/>
          <a:ext cx="0" cy="1209675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10</xdr:col>
      <xdr:colOff>0</xdr:colOff>
      <xdr:row>11</xdr:row>
      <xdr:rowOff>0</xdr:rowOff>
    </xdr:from>
    <xdr:to>
      <xdr:col>10</xdr:col>
      <xdr:colOff>0</xdr:colOff>
      <xdr:row>13</xdr:row>
      <xdr:rowOff>114300</xdr:rowOff>
    </xdr:to>
    <xdr:sp macro="" textlink="">
      <xdr:nvSpPr>
        <xdr:cNvPr id="96" name="Line 3986">
          <a:extLst>
            <a:ext uri="{FF2B5EF4-FFF2-40B4-BE49-F238E27FC236}">
              <a16:creationId xmlns:a16="http://schemas.microsoft.com/office/drawing/2014/main" id="{00000000-0008-0000-0100-000060000000}"/>
            </a:ext>
          </a:extLst>
        </xdr:cNvPr>
        <xdr:cNvSpPr>
          <a:spLocks noChangeShapeType="1"/>
        </xdr:cNvSpPr>
      </xdr:nvSpPr>
      <xdr:spPr bwMode="auto">
        <a:xfrm flipV="1">
          <a:off x="1895475" y="2095500"/>
          <a:ext cx="0" cy="49530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10</xdr:col>
      <xdr:colOff>0</xdr:colOff>
      <xdr:row>22</xdr:row>
      <xdr:rowOff>71968</xdr:rowOff>
    </xdr:from>
    <xdr:to>
      <xdr:col>10</xdr:col>
      <xdr:colOff>0</xdr:colOff>
      <xdr:row>26</xdr:row>
      <xdr:rowOff>176743</xdr:rowOff>
    </xdr:to>
    <xdr:sp macro="" textlink="">
      <xdr:nvSpPr>
        <xdr:cNvPr id="97" name="Line 3986">
          <a:extLst>
            <a:ext uri="{FF2B5EF4-FFF2-40B4-BE49-F238E27FC236}">
              <a16:creationId xmlns:a16="http://schemas.microsoft.com/office/drawing/2014/main" id="{00000000-0008-0000-0100-000061000000}"/>
            </a:ext>
          </a:extLst>
        </xdr:cNvPr>
        <xdr:cNvSpPr>
          <a:spLocks noChangeShapeType="1"/>
        </xdr:cNvSpPr>
      </xdr:nvSpPr>
      <xdr:spPr bwMode="auto">
        <a:xfrm flipV="1">
          <a:off x="1895475" y="4262968"/>
          <a:ext cx="0" cy="866775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0</xdr:colOff>
      <xdr:row>22</xdr:row>
      <xdr:rowOff>133350</xdr:rowOff>
    </xdr:from>
    <xdr:to>
      <xdr:col>13</xdr:col>
      <xdr:colOff>0</xdr:colOff>
      <xdr:row>26</xdr:row>
      <xdr:rowOff>180975</xdr:rowOff>
    </xdr:to>
    <xdr:sp macro="" textlink="">
      <xdr:nvSpPr>
        <xdr:cNvPr id="98" name="Line 3986">
          <a:extLst>
            <a:ext uri="{FF2B5EF4-FFF2-40B4-BE49-F238E27FC236}">
              <a16:creationId xmlns:a16="http://schemas.microsoft.com/office/drawing/2014/main" id="{00000000-0008-0000-0100-000062000000}"/>
            </a:ext>
          </a:extLst>
        </xdr:cNvPr>
        <xdr:cNvSpPr>
          <a:spLocks noChangeShapeType="1"/>
        </xdr:cNvSpPr>
      </xdr:nvSpPr>
      <xdr:spPr bwMode="auto">
        <a:xfrm flipV="1">
          <a:off x="2466975" y="4324350"/>
          <a:ext cx="0" cy="809625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19</xdr:col>
      <xdr:colOff>38100</xdr:colOff>
      <xdr:row>21</xdr:row>
      <xdr:rowOff>114300</xdr:rowOff>
    </xdr:from>
    <xdr:to>
      <xdr:col>20</xdr:col>
      <xdr:colOff>152400</xdr:colOff>
      <xdr:row>22</xdr:row>
      <xdr:rowOff>66675</xdr:rowOff>
    </xdr:to>
    <xdr:grpSp>
      <xdr:nvGrpSpPr>
        <xdr:cNvPr id="99" name="Group 4640">
          <a:extLst>
            <a:ext uri="{FF2B5EF4-FFF2-40B4-BE49-F238E27FC236}">
              <a16:creationId xmlns:a16="http://schemas.microsoft.com/office/drawing/2014/main" id="{00000000-0008-0000-0100-000063000000}"/>
            </a:ext>
          </a:extLst>
        </xdr:cNvPr>
        <xdr:cNvGrpSpPr>
          <a:grpSpLocks noChangeAspect="1"/>
        </xdr:cNvGrpSpPr>
      </xdr:nvGrpSpPr>
      <xdr:grpSpPr bwMode="auto">
        <a:xfrm>
          <a:off x="3657600" y="4114800"/>
          <a:ext cx="304800" cy="142875"/>
          <a:chOff x="1491" y="181"/>
          <a:chExt cx="43" cy="21"/>
        </a:xfrm>
      </xdr:grpSpPr>
      <xdr:sp macro="" textlink="">
        <xdr:nvSpPr>
          <xdr:cNvPr id="100" name="Line 4641">
            <a:extLst>
              <a:ext uri="{FF2B5EF4-FFF2-40B4-BE49-F238E27FC236}">
                <a16:creationId xmlns:a16="http://schemas.microsoft.com/office/drawing/2014/main" id="{00000000-0008-0000-0100-000064000000}"/>
              </a:ext>
            </a:extLst>
          </xdr:cNvPr>
          <xdr:cNvSpPr>
            <a:spLocks noChangeAspect="1" noChangeShapeType="1"/>
          </xdr:cNvSpPr>
        </xdr:nvSpPr>
        <xdr:spPr bwMode="auto">
          <a:xfrm>
            <a:off x="1491" y="181"/>
            <a:ext cx="43" cy="0"/>
          </a:xfrm>
          <a:prstGeom prst="line">
            <a:avLst/>
          </a:prstGeom>
          <a:noFill/>
          <a:ln w="190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01" name="Line 4642">
            <a:extLst>
              <a:ext uri="{FF2B5EF4-FFF2-40B4-BE49-F238E27FC236}">
                <a16:creationId xmlns:a16="http://schemas.microsoft.com/office/drawing/2014/main" id="{00000000-0008-0000-0100-000065000000}"/>
              </a:ext>
            </a:extLst>
          </xdr:cNvPr>
          <xdr:cNvSpPr>
            <a:spLocks noChangeAspect="1" noChangeShapeType="1"/>
          </xdr:cNvSpPr>
        </xdr:nvSpPr>
        <xdr:spPr bwMode="auto">
          <a:xfrm>
            <a:off x="1491" y="202"/>
            <a:ext cx="43" cy="0"/>
          </a:xfrm>
          <a:prstGeom prst="line">
            <a:avLst/>
          </a:prstGeom>
          <a:noFill/>
          <a:ln w="190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/>
  </xdr:twoCellAnchor>
  <xdr:twoCellAnchor>
    <xdr:from>
      <xdr:col>20</xdr:col>
      <xdr:colOff>0</xdr:colOff>
      <xdr:row>11</xdr:row>
      <xdr:rowOff>38100</xdr:rowOff>
    </xdr:from>
    <xdr:to>
      <xdr:col>20</xdr:col>
      <xdr:colOff>0</xdr:colOff>
      <xdr:row>21</xdr:row>
      <xdr:rowOff>114300</xdr:rowOff>
    </xdr:to>
    <xdr:sp macro="" textlink="">
      <xdr:nvSpPr>
        <xdr:cNvPr id="102" name="Line 3986">
          <a:extLst>
            <a:ext uri="{FF2B5EF4-FFF2-40B4-BE49-F238E27FC236}">
              <a16:creationId xmlns:a16="http://schemas.microsoft.com/office/drawing/2014/main" id="{00000000-0008-0000-0100-000066000000}"/>
            </a:ext>
          </a:extLst>
        </xdr:cNvPr>
        <xdr:cNvSpPr>
          <a:spLocks noChangeShapeType="1"/>
        </xdr:cNvSpPr>
      </xdr:nvSpPr>
      <xdr:spPr bwMode="auto">
        <a:xfrm flipV="1">
          <a:off x="3800475" y="2133600"/>
          <a:ext cx="0" cy="198120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20</xdr:col>
      <xdr:colOff>0</xdr:colOff>
      <xdr:row>22</xdr:row>
      <xdr:rowOff>71968</xdr:rowOff>
    </xdr:from>
    <xdr:to>
      <xdr:col>20</xdr:col>
      <xdr:colOff>0</xdr:colOff>
      <xdr:row>26</xdr:row>
      <xdr:rowOff>176743</xdr:rowOff>
    </xdr:to>
    <xdr:sp macro="" textlink="">
      <xdr:nvSpPr>
        <xdr:cNvPr id="103" name="Line 3986">
          <a:extLst>
            <a:ext uri="{FF2B5EF4-FFF2-40B4-BE49-F238E27FC236}">
              <a16:creationId xmlns:a16="http://schemas.microsoft.com/office/drawing/2014/main" id="{00000000-0008-0000-0100-000067000000}"/>
            </a:ext>
          </a:extLst>
        </xdr:cNvPr>
        <xdr:cNvSpPr>
          <a:spLocks noChangeShapeType="1"/>
        </xdr:cNvSpPr>
      </xdr:nvSpPr>
      <xdr:spPr bwMode="auto">
        <a:xfrm flipV="1">
          <a:off x="3800475" y="4262968"/>
          <a:ext cx="0" cy="866775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161925</xdr:colOff>
      <xdr:row>10</xdr:row>
      <xdr:rowOff>142875</xdr:rowOff>
    </xdr:from>
    <xdr:to>
      <xdr:col>10</xdr:col>
      <xdr:colOff>57150</xdr:colOff>
      <xdr:row>11</xdr:row>
      <xdr:rowOff>38100</xdr:rowOff>
    </xdr:to>
    <xdr:sp macro="" textlink="">
      <xdr:nvSpPr>
        <xdr:cNvPr id="104" name="Oval 4848">
          <a:extLst>
            <a:ext uri="{FF2B5EF4-FFF2-40B4-BE49-F238E27FC236}">
              <a16:creationId xmlns:a16="http://schemas.microsoft.com/office/drawing/2014/main" id="{00000000-0008-0000-0100-000068000000}"/>
            </a:ext>
          </a:extLst>
        </xdr:cNvPr>
        <xdr:cNvSpPr>
          <a:spLocks noChangeArrowheads="1"/>
        </xdr:cNvSpPr>
      </xdr:nvSpPr>
      <xdr:spPr bwMode="auto">
        <a:xfrm>
          <a:off x="1866900" y="2047875"/>
          <a:ext cx="85725" cy="8572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19</xdr:col>
      <xdr:colOff>161925</xdr:colOff>
      <xdr:row>10</xdr:row>
      <xdr:rowOff>161925</xdr:rowOff>
    </xdr:from>
    <xdr:to>
      <xdr:col>20</xdr:col>
      <xdr:colOff>57150</xdr:colOff>
      <xdr:row>11</xdr:row>
      <xdr:rowOff>57150</xdr:rowOff>
    </xdr:to>
    <xdr:sp macro="" textlink="">
      <xdr:nvSpPr>
        <xdr:cNvPr id="105" name="Oval 4848">
          <a:extLst>
            <a:ext uri="{FF2B5EF4-FFF2-40B4-BE49-F238E27FC236}">
              <a16:creationId xmlns:a16="http://schemas.microsoft.com/office/drawing/2014/main" id="{00000000-0008-0000-0100-000069000000}"/>
            </a:ext>
          </a:extLst>
        </xdr:cNvPr>
        <xdr:cNvSpPr>
          <a:spLocks noChangeArrowheads="1"/>
        </xdr:cNvSpPr>
      </xdr:nvSpPr>
      <xdr:spPr bwMode="auto">
        <a:xfrm>
          <a:off x="3771900" y="2066925"/>
          <a:ext cx="85725" cy="8572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9</xdr:col>
      <xdr:colOff>161925</xdr:colOff>
      <xdr:row>18</xdr:row>
      <xdr:rowOff>142875</xdr:rowOff>
    </xdr:from>
    <xdr:to>
      <xdr:col>10</xdr:col>
      <xdr:colOff>57150</xdr:colOff>
      <xdr:row>19</xdr:row>
      <xdr:rowOff>38100</xdr:rowOff>
    </xdr:to>
    <xdr:sp macro="" textlink="">
      <xdr:nvSpPr>
        <xdr:cNvPr id="106" name="Oval 4848">
          <a:extLst>
            <a:ext uri="{FF2B5EF4-FFF2-40B4-BE49-F238E27FC236}">
              <a16:creationId xmlns:a16="http://schemas.microsoft.com/office/drawing/2014/main" id="{00000000-0008-0000-0100-00006A000000}"/>
            </a:ext>
          </a:extLst>
        </xdr:cNvPr>
        <xdr:cNvSpPr>
          <a:spLocks noChangeArrowheads="1"/>
        </xdr:cNvSpPr>
      </xdr:nvSpPr>
      <xdr:spPr bwMode="auto">
        <a:xfrm>
          <a:off x="1866900" y="3571875"/>
          <a:ext cx="85725" cy="8572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26</xdr:row>
      <xdr:rowOff>142875</xdr:rowOff>
    </xdr:from>
    <xdr:to>
      <xdr:col>10</xdr:col>
      <xdr:colOff>38100</xdr:colOff>
      <xdr:row>27</xdr:row>
      <xdr:rowOff>38100</xdr:rowOff>
    </xdr:to>
    <xdr:sp macro="" textlink="">
      <xdr:nvSpPr>
        <xdr:cNvPr id="107" name="Oval 4848">
          <a:extLst>
            <a:ext uri="{FF2B5EF4-FFF2-40B4-BE49-F238E27FC236}">
              <a16:creationId xmlns:a16="http://schemas.microsoft.com/office/drawing/2014/main" id="{00000000-0008-0000-0100-00006B000000}"/>
            </a:ext>
          </a:extLst>
        </xdr:cNvPr>
        <xdr:cNvSpPr>
          <a:spLocks noChangeArrowheads="1"/>
        </xdr:cNvSpPr>
      </xdr:nvSpPr>
      <xdr:spPr bwMode="auto">
        <a:xfrm>
          <a:off x="1847850" y="5095875"/>
          <a:ext cx="85725" cy="8572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12</xdr:col>
      <xdr:colOff>123825</xdr:colOff>
      <xdr:row>26</xdr:row>
      <xdr:rowOff>142875</xdr:rowOff>
    </xdr:from>
    <xdr:to>
      <xdr:col>13</xdr:col>
      <xdr:colOff>19050</xdr:colOff>
      <xdr:row>27</xdr:row>
      <xdr:rowOff>38100</xdr:rowOff>
    </xdr:to>
    <xdr:sp macro="" textlink="">
      <xdr:nvSpPr>
        <xdr:cNvPr id="108" name="Oval 4848">
          <a:extLst>
            <a:ext uri="{FF2B5EF4-FFF2-40B4-BE49-F238E27FC236}">
              <a16:creationId xmlns:a16="http://schemas.microsoft.com/office/drawing/2014/main" id="{00000000-0008-0000-0100-00006C000000}"/>
            </a:ext>
          </a:extLst>
        </xdr:cNvPr>
        <xdr:cNvSpPr>
          <a:spLocks noChangeArrowheads="1"/>
        </xdr:cNvSpPr>
      </xdr:nvSpPr>
      <xdr:spPr bwMode="auto">
        <a:xfrm>
          <a:off x="2400300" y="5095875"/>
          <a:ext cx="85725" cy="8572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19</xdr:col>
      <xdr:colOff>142875</xdr:colOff>
      <xdr:row>26</xdr:row>
      <xdr:rowOff>142875</xdr:rowOff>
    </xdr:from>
    <xdr:to>
      <xdr:col>20</xdr:col>
      <xdr:colOff>38100</xdr:colOff>
      <xdr:row>27</xdr:row>
      <xdr:rowOff>38100</xdr:rowOff>
    </xdr:to>
    <xdr:sp macro="" textlink="">
      <xdr:nvSpPr>
        <xdr:cNvPr id="109" name="Oval 4848">
          <a:extLst>
            <a:ext uri="{FF2B5EF4-FFF2-40B4-BE49-F238E27FC236}">
              <a16:creationId xmlns:a16="http://schemas.microsoft.com/office/drawing/2014/main" id="{00000000-0008-0000-0100-00006D000000}"/>
            </a:ext>
          </a:extLst>
        </xdr:cNvPr>
        <xdr:cNvSpPr>
          <a:spLocks noChangeArrowheads="1"/>
        </xdr:cNvSpPr>
      </xdr:nvSpPr>
      <xdr:spPr bwMode="auto">
        <a:xfrm>
          <a:off x="3752850" y="5095875"/>
          <a:ext cx="85725" cy="8572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 editAs="oneCell">
    <xdr:from>
      <xdr:col>3</xdr:col>
      <xdr:colOff>104437</xdr:colOff>
      <xdr:row>28</xdr:row>
      <xdr:rowOff>179916</xdr:rowOff>
    </xdr:from>
    <xdr:to>
      <xdr:col>29</xdr:col>
      <xdr:colOff>28576</xdr:colOff>
      <xdr:row>47</xdr:row>
      <xdr:rowOff>116416</xdr:rowOff>
    </xdr:to>
    <xdr:pic>
      <xdr:nvPicPr>
        <xdr:cNvPr id="110" name="図 2">
          <a:extLst>
            <a:ext uri="{FF2B5EF4-FFF2-40B4-BE49-F238E27FC236}">
              <a16:creationId xmlns:a16="http://schemas.microsoft.com/office/drawing/2014/main" id="{00000000-0008-0000-0100-00006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256" t="30930" r="50580" b="19424"/>
        <a:stretch>
          <a:fillRect/>
        </a:stretch>
      </xdr:blipFill>
      <xdr:spPr bwMode="auto">
        <a:xfrm>
          <a:off x="675937" y="5513916"/>
          <a:ext cx="4867614" cy="355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43</xdr:col>
      <xdr:colOff>0</xdr:colOff>
      <xdr:row>3</xdr:row>
      <xdr:rowOff>79375</xdr:rowOff>
    </xdr:from>
    <xdr:to>
      <xdr:col>48</xdr:col>
      <xdr:colOff>31749</xdr:colOff>
      <xdr:row>4</xdr:row>
      <xdr:rowOff>142875</xdr:rowOff>
    </xdr:to>
    <xdr:sp macro="" textlink="">
      <xdr:nvSpPr>
        <xdr:cNvPr id="111" name="正方形/長方形 110">
          <a:extLst>
            <a:ext uri="{FF2B5EF4-FFF2-40B4-BE49-F238E27FC236}">
              <a16:creationId xmlns:a16="http://schemas.microsoft.com/office/drawing/2014/main" id="{00000000-0008-0000-0100-00006F000000}"/>
            </a:ext>
          </a:extLst>
        </xdr:cNvPr>
        <xdr:cNvSpPr/>
      </xdr:nvSpPr>
      <xdr:spPr bwMode="auto">
        <a:xfrm>
          <a:off x="8172450" y="650875"/>
          <a:ext cx="984249" cy="254000"/>
        </a:xfrm>
        <a:prstGeom prst="rect">
          <a:avLst/>
        </a:prstGeom>
        <a:noFill/>
        <a:ln w="1905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en-US" altLang="ja-JP" sz="1400"/>
            <a:t>Z1</a:t>
          </a:r>
          <a:endParaRPr kumimoji="1" lang="ja-JP" altLang="en-US" sz="1400"/>
        </a:p>
      </xdr:txBody>
    </xdr:sp>
    <xdr:clientData/>
  </xdr:twoCellAnchor>
  <xdr:twoCellAnchor>
    <xdr:from>
      <xdr:col>50</xdr:col>
      <xdr:colOff>25400</xdr:colOff>
      <xdr:row>3</xdr:row>
      <xdr:rowOff>73025</xdr:rowOff>
    </xdr:from>
    <xdr:to>
      <xdr:col>55</xdr:col>
      <xdr:colOff>57149</xdr:colOff>
      <xdr:row>4</xdr:row>
      <xdr:rowOff>136525</xdr:rowOff>
    </xdr:to>
    <xdr:sp macro="" textlink="">
      <xdr:nvSpPr>
        <xdr:cNvPr id="112" name="正方形/長方形 111">
          <a:extLst>
            <a:ext uri="{FF2B5EF4-FFF2-40B4-BE49-F238E27FC236}">
              <a16:creationId xmlns:a16="http://schemas.microsoft.com/office/drawing/2014/main" id="{00000000-0008-0000-0100-000070000000}"/>
            </a:ext>
          </a:extLst>
        </xdr:cNvPr>
        <xdr:cNvSpPr/>
      </xdr:nvSpPr>
      <xdr:spPr bwMode="auto">
        <a:xfrm>
          <a:off x="9531350" y="644525"/>
          <a:ext cx="984249" cy="254000"/>
        </a:xfrm>
        <a:prstGeom prst="rect">
          <a:avLst/>
        </a:prstGeom>
        <a:noFill/>
        <a:ln w="1905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en-US" altLang="ja-JP" sz="1400"/>
            <a:t>Z1</a:t>
          </a:r>
          <a:endParaRPr kumimoji="1" lang="ja-JP" altLang="en-US" sz="1400"/>
        </a:p>
      </xdr:txBody>
    </xdr:sp>
    <xdr:clientData/>
  </xdr:twoCellAnchor>
  <xdr:twoCellAnchor>
    <xdr:from>
      <xdr:col>48</xdr:col>
      <xdr:colOff>82551</xdr:colOff>
      <xdr:row>5</xdr:row>
      <xdr:rowOff>161924</xdr:rowOff>
    </xdr:from>
    <xdr:to>
      <xdr:col>49</xdr:col>
      <xdr:colOff>127001</xdr:colOff>
      <xdr:row>10</xdr:row>
      <xdr:rowOff>190499</xdr:rowOff>
    </xdr:to>
    <xdr:sp macro="" textlink="">
      <xdr:nvSpPr>
        <xdr:cNvPr id="113" name="正方形/長方形 112">
          <a:extLst>
            <a:ext uri="{FF2B5EF4-FFF2-40B4-BE49-F238E27FC236}">
              <a16:creationId xmlns:a16="http://schemas.microsoft.com/office/drawing/2014/main" id="{00000000-0008-0000-0100-000071000000}"/>
            </a:ext>
          </a:extLst>
        </xdr:cNvPr>
        <xdr:cNvSpPr/>
      </xdr:nvSpPr>
      <xdr:spPr bwMode="auto">
        <a:xfrm>
          <a:off x="9207501" y="1114424"/>
          <a:ext cx="234950" cy="981075"/>
        </a:xfrm>
        <a:prstGeom prst="rect">
          <a:avLst/>
        </a:prstGeom>
        <a:noFill/>
        <a:ln w="1905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en-US" altLang="ja-JP" sz="1400"/>
            <a:t>Z2</a:t>
          </a:r>
          <a:endParaRPr kumimoji="1" lang="ja-JP" altLang="en-US" sz="1400"/>
        </a:p>
      </xdr:txBody>
    </xdr:sp>
    <xdr:clientData/>
  </xdr:twoCellAnchor>
  <xdr:twoCellAnchor>
    <xdr:from>
      <xdr:col>56</xdr:col>
      <xdr:colOff>152400</xdr:colOff>
      <xdr:row>3</xdr:row>
      <xdr:rowOff>73025</xdr:rowOff>
    </xdr:from>
    <xdr:to>
      <xdr:col>61</xdr:col>
      <xdr:colOff>184149</xdr:colOff>
      <xdr:row>4</xdr:row>
      <xdr:rowOff>136525</xdr:rowOff>
    </xdr:to>
    <xdr:sp macro="" textlink="">
      <xdr:nvSpPr>
        <xdr:cNvPr id="114" name="正方形/長方形 113">
          <a:extLst>
            <a:ext uri="{FF2B5EF4-FFF2-40B4-BE49-F238E27FC236}">
              <a16:creationId xmlns:a16="http://schemas.microsoft.com/office/drawing/2014/main" id="{00000000-0008-0000-0100-000072000000}"/>
            </a:ext>
          </a:extLst>
        </xdr:cNvPr>
        <xdr:cNvSpPr/>
      </xdr:nvSpPr>
      <xdr:spPr bwMode="auto">
        <a:xfrm>
          <a:off x="10801350" y="644525"/>
          <a:ext cx="984249" cy="254000"/>
        </a:xfrm>
        <a:prstGeom prst="rect">
          <a:avLst/>
        </a:prstGeom>
        <a:noFill/>
        <a:ln w="1905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en-US" altLang="ja-JP" sz="1400"/>
            <a:t>Z3</a:t>
          </a:r>
          <a:endParaRPr kumimoji="1" lang="ja-JP" altLang="en-US" sz="1400"/>
        </a:p>
      </xdr:txBody>
    </xdr:sp>
    <xdr:clientData/>
  </xdr:twoCellAnchor>
  <xdr:twoCellAnchor>
    <xdr:from>
      <xdr:col>63</xdr:col>
      <xdr:colOff>177800</xdr:colOff>
      <xdr:row>3</xdr:row>
      <xdr:rowOff>66675</xdr:rowOff>
    </xdr:from>
    <xdr:to>
      <xdr:col>69</xdr:col>
      <xdr:colOff>19049</xdr:colOff>
      <xdr:row>4</xdr:row>
      <xdr:rowOff>130175</xdr:rowOff>
    </xdr:to>
    <xdr:sp macro="" textlink="">
      <xdr:nvSpPr>
        <xdr:cNvPr id="115" name="正方形/長方形 114">
          <a:extLst>
            <a:ext uri="{FF2B5EF4-FFF2-40B4-BE49-F238E27FC236}">
              <a16:creationId xmlns:a16="http://schemas.microsoft.com/office/drawing/2014/main" id="{00000000-0008-0000-0100-000073000000}"/>
            </a:ext>
          </a:extLst>
        </xdr:cNvPr>
        <xdr:cNvSpPr/>
      </xdr:nvSpPr>
      <xdr:spPr bwMode="auto">
        <a:xfrm>
          <a:off x="12160250" y="638175"/>
          <a:ext cx="984249" cy="254000"/>
        </a:xfrm>
        <a:prstGeom prst="rect">
          <a:avLst/>
        </a:prstGeom>
        <a:noFill/>
        <a:ln w="1905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en-US" altLang="ja-JP" sz="1400"/>
            <a:t>Z3</a:t>
          </a:r>
          <a:endParaRPr kumimoji="1" lang="ja-JP" altLang="en-US" sz="1400"/>
        </a:p>
      </xdr:txBody>
    </xdr:sp>
    <xdr:clientData/>
  </xdr:twoCellAnchor>
  <xdr:twoCellAnchor>
    <xdr:from>
      <xdr:col>62</xdr:col>
      <xdr:colOff>44451</xdr:colOff>
      <xdr:row>5</xdr:row>
      <xdr:rowOff>155574</xdr:rowOff>
    </xdr:from>
    <xdr:to>
      <xdr:col>63</xdr:col>
      <xdr:colOff>88901</xdr:colOff>
      <xdr:row>10</xdr:row>
      <xdr:rowOff>184149</xdr:rowOff>
    </xdr:to>
    <xdr:sp macro="" textlink="">
      <xdr:nvSpPr>
        <xdr:cNvPr id="116" name="正方形/長方形 115">
          <a:extLst>
            <a:ext uri="{FF2B5EF4-FFF2-40B4-BE49-F238E27FC236}">
              <a16:creationId xmlns:a16="http://schemas.microsoft.com/office/drawing/2014/main" id="{00000000-0008-0000-0100-000074000000}"/>
            </a:ext>
          </a:extLst>
        </xdr:cNvPr>
        <xdr:cNvSpPr/>
      </xdr:nvSpPr>
      <xdr:spPr bwMode="auto">
        <a:xfrm>
          <a:off x="11836401" y="1108074"/>
          <a:ext cx="234950" cy="981075"/>
        </a:xfrm>
        <a:prstGeom prst="rect">
          <a:avLst/>
        </a:prstGeom>
        <a:noFill/>
        <a:ln w="1905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en-US" altLang="ja-JP" sz="1400"/>
            <a:t>Z4</a:t>
          </a:r>
          <a:endParaRPr kumimoji="1" lang="ja-JP" altLang="en-US" sz="1400"/>
        </a:p>
      </xdr:txBody>
    </xdr:sp>
    <xdr:clientData/>
  </xdr:twoCellAnchor>
  <xdr:twoCellAnchor>
    <xdr:from>
      <xdr:col>48</xdr:col>
      <xdr:colOff>95250</xdr:colOff>
      <xdr:row>12</xdr:row>
      <xdr:rowOff>180975</xdr:rowOff>
    </xdr:from>
    <xdr:to>
      <xdr:col>49</xdr:col>
      <xdr:colOff>114300</xdr:colOff>
      <xdr:row>15</xdr:row>
      <xdr:rowOff>57150</xdr:rowOff>
    </xdr:to>
    <xdr:grpSp>
      <xdr:nvGrpSpPr>
        <xdr:cNvPr id="117" name="Group 3972">
          <a:extLst>
            <a:ext uri="{FF2B5EF4-FFF2-40B4-BE49-F238E27FC236}">
              <a16:creationId xmlns:a16="http://schemas.microsoft.com/office/drawing/2014/main" id="{00000000-0008-0000-0100-000075000000}"/>
            </a:ext>
          </a:extLst>
        </xdr:cNvPr>
        <xdr:cNvGrpSpPr>
          <a:grpSpLocks/>
        </xdr:cNvGrpSpPr>
      </xdr:nvGrpSpPr>
      <xdr:grpSpPr bwMode="auto">
        <a:xfrm>
          <a:off x="9239250" y="2466975"/>
          <a:ext cx="209550" cy="447675"/>
          <a:chOff x="1788" y="432"/>
          <a:chExt cx="22" cy="47"/>
        </a:xfrm>
      </xdr:grpSpPr>
      <xdr:sp macro="" textlink="">
        <xdr:nvSpPr>
          <xdr:cNvPr id="118" name="Line 3973">
            <a:extLst>
              <a:ext uri="{FF2B5EF4-FFF2-40B4-BE49-F238E27FC236}">
                <a16:creationId xmlns:a16="http://schemas.microsoft.com/office/drawing/2014/main" id="{00000000-0008-0000-0100-000076000000}"/>
              </a:ext>
            </a:extLst>
          </xdr:cNvPr>
          <xdr:cNvSpPr>
            <a:spLocks noChangeAspect="1" noChangeShapeType="1"/>
          </xdr:cNvSpPr>
        </xdr:nvSpPr>
        <xdr:spPr bwMode="auto">
          <a:xfrm rot="10800000">
            <a:off x="1799" y="445"/>
            <a:ext cx="11" cy="3"/>
          </a:xfrm>
          <a:prstGeom prst="line">
            <a:avLst/>
          </a:prstGeom>
          <a:noFill/>
          <a:ln w="190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9" name="Line 3974">
            <a:extLst>
              <a:ext uri="{FF2B5EF4-FFF2-40B4-BE49-F238E27FC236}">
                <a16:creationId xmlns:a16="http://schemas.microsoft.com/office/drawing/2014/main" id="{00000000-0008-0000-0100-000077000000}"/>
              </a:ext>
            </a:extLst>
          </xdr:cNvPr>
          <xdr:cNvSpPr>
            <a:spLocks noChangeAspect="1" noChangeShapeType="1"/>
          </xdr:cNvSpPr>
        </xdr:nvSpPr>
        <xdr:spPr bwMode="auto">
          <a:xfrm rot="10800000" flipV="1">
            <a:off x="1788" y="448"/>
            <a:ext cx="22" cy="6"/>
          </a:xfrm>
          <a:prstGeom prst="line">
            <a:avLst/>
          </a:prstGeom>
          <a:noFill/>
          <a:ln w="190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0" name="Line 3975">
            <a:extLst>
              <a:ext uri="{FF2B5EF4-FFF2-40B4-BE49-F238E27FC236}">
                <a16:creationId xmlns:a16="http://schemas.microsoft.com/office/drawing/2014/main" id="{00000000-0008-0000-0100-000078000000}"/>
              </a:ext>
            </a:extLst>
          </xdr:cNvPr>
          <xdr:cNvSpPr>
            <a:spLocks noChangeAspect="1" noChangeShapeType="1"/>
          </xdr:cNvSpPr>
        </xdr:nvSpPr>
        <xdr:spPr bwMode="auto">
          <a:xfrm rot="10800000">
            <a:off x="1788" y="454"/>
            <a:ext cx="22" cy="5"/>
          </a:xfrm>
          <a:prstGeom prst="line">
            <a:avLst/>
          </a:prstGeom>
          <a:noFill/>
          <a:ln w="190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1" name="Line 3976">
            <a:extLst>
              <a:ext uri="{FF2B5EF4-FFF2-40B4-BE49-F238E27FC236}">
                <a16:creationId xmlns:a16="http://schemas.microsoft.com/office/drawing/2014/main" id="{00000000-0008-0000-0100-000079000000}"/>
              </a:ext>
            </a:extLst>
          </xdr:cNvPr>
          <xdr:cNvSpPr>
            <a:spLocks noChangeAspect="1" noChangeShapeType="1"/>
          </xdr:cNvSpPr>
        </xdr:nvSpPr>
        <xdr:spPr bwMode="auto">
          <a:xfrm rot="10800000" flipV="1">
            <a:off x="1788" y="459"/>
            <a:ext cx="22" cy="6"/>
          </a:xfrm>
          <a:prstGeom prst="line">
            <a:avLst/>
          </a:prstGeom>
          <a:noFill/>
          <a:ln w="190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2" name="Line 3977">
            <a:extLst>
              <a:ext uri="{FF2B5EF4-FFF2-40B4-BE49-F238E27FC236}">
                <a16:creationId xmlns:a16="http://schemas.microsoft.com/office/drawing/2014/main" id="{00000000-0008-0000-0100-00007A000000}"/>
              </a:ext>
            </a:extLst>
          </xdr:cNvPr>
          <xdr:cNvSpPr>
            <a:spLocks noChangeAspect="1" noChangeShapeType="1"/>
          </xdr:cNvSpPr>
        </xdr:nvSpPr>
        <xdr:spPr bwMode="auto">
          <a:xfrm rot="10800000">
            <a:off x="1788" y="465"/>
            <a:ext cx="22" cy="5"/>
          </a:xfrm>
          <a:prstGeom prst="line">
            <a:avLst/>
          </a:prstGeom>
          <a:noFill/>
          <a:ln w="190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3" name="Line 3978">
            <a:extLst>
              <a:ext uri="{FF2B5EF4-FFF2-40B4-BE49-F238E27FC236}">
                <a16:creationId xmlns:a16="http://schemas.microsoft.com/office/drawing/2014/main" id="{00000000-0008-0000-0100-00007B000000}"/>
              </a:ext>
            </a:extLst>
          </xdr:cNvPr>
          <xdr:cNvSpPr>
            <a:spLocks noChangeAspect="1" noChangeShapeType="1"/>
          </xdr:cNvSpPr>
        </xdr:nvSpPr>
        <xdr:spPr bwMode="auto">
          <a:xfrm rot="10800000" flipV="1">
            <a:off x="1788" y="470"/>
            <a:ext cx="22" cy="6"/>
          </a:xfrm>
          <a:prstGeom prst="line">
            <a:avLst/>
          </a:prstGeom>
          <a:noFill/>
          <a:ln w="190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4" name="Line 3979">
            <a:extLst>
              <a:ext uri="{FF2B5EF4-FFF2-40B4-BE49-F238E27FC236}">
                <a16:creationId xmlns:a16="http://schemas.microsoft.com/office/drawing/2014/main" id="{00000000-0008-0000-0100-00007C000000}"/>
              </a:ext>
            </a:extLst>
          </xdr:cNvPr>
          <xdr:cNvSpPr>
            <a:spLocks noChangeAspect="1" noChangeShapeType="1"/>
          </xdr:cNvSpPr>
        </xdr:nvSpPr>
        <xdr:spPr bwMode="auto">
          <a:xfrm rot="10800000">
            <a:off x="1788" y="476"/>
            <a:ext cx="11" cy="3"/>
          </a:xfrm>
          <a:prstGeom prst="line">
            <a:avLst/>
          </a:prstGeom>
          <a:noFill/>
          <a:ln w="190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5" name="Line 3980">
            <a:extLst>
              <a:ext uri="{FF2B5EF4-FFF2-40B4-BE49-F238E27FC236}">
                <a16:creationId xmlns:a16="http://schemas.microsoft.com/office/drawing/2014/main" id="{00000000-0008-0000-0100-00007D000000}"/>
              </a:ext>
            </a:extLst>
          </xdr:cNvPr>
          <xdr:cNvSpPr>
            <a:spLocks noChangeAspect="1" noChangeShapeType="1"/>
          </xdr:cNvSpPr>
        </xdr:nvSpPr>
        <xdr:spPr bwMode="auto">
          <a:xfrm rot="10800000">
            <a:off x="1799" y="432"/>
            <a:ext cx="0" cy="14"/>
          </a:xfrm>
          <a:prstGeom prst="line">
            <a:avLst/>
          </a:prstGeom>
          <a:noFill/>
          <a:ln w="190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48</xdr:col>
      <xdr:colOff>47625</xdr:colOff>
      <xdr:row>21</xdr:row>
      <xdr:rowOff>114300</xdr:rowOff>
    </xdr:from>
    <xdr:to>
      <xdr:col>49</xdr:col>
      <xdr:colOff>161925</xdr:colOff>
      <xdr:row>22</xdr:row>
      <xdr:rowOff>66675</xdr:rowOff>
    </xdr:to>
    <xdr:grpSp>
      <xdr:nvGrpSpPr>
        <xdr:cNvPr id="126" name="Group 4640">
          <a:extLst>
            <a:ext uri="{FF2B5EF4-FFF2-40B4-BE49-F238E27FC236}">
              <a16:creationId xmlns:a16="http://schemas.microsoft.com/office/drawing/2014/main" id="{00000000-0008-0000-0100-00007E000000}"/>
            </a:ext>
          </a:extLst>
        </xdr:cNvPr>
        <xdr:cNvGrpSpPr>
          <a:grpSpLocks noChangeAspect="1"/>
        </xdr:cNvGrpSpPr>
      </xdr:nvGrpSpPr>
      <xdr:grpSpPr bwMode="auto">
        <a:xfrm>
          <a:off x="9191625" y="4114800"/>
          <a:ext cx="304800" cy="142875"/>
          <a:chOff x="1491" y="181"/>
          <a:chExt cx="43" cy="21"/>
        </a:xfrm>
      </xdr:grpSpPr>
      <xdr:sp macro="" textlink="">
        <xdr:nvSpPr>
          <xdr:cNvPr id="127" name="Line 4641">
            <a:extLst>
              <a:ext uri="{FF2B5EF4-FFF2-40B4-BE49-F238E27FC236}">
                <a16:creationId xmlns:a16="http://schemas.microsoft.com/office/drawing/2014/main" id="{00000000-0008-0000-0100-00007F000000}"/>
              </a:ext>
            </a:extLst>
          </xdr:cNvPr>
          <xdr:cNvSpPr>
            <a:spLocks noChangeAspect="1" noChangeShapeType="1"/>
          </xdr:cNvSpPr>
        </xdr:nvSpPr>
        <xdr:spPr bwMode="auto">
          <a:xfrm>
            <a:off x="1491" y="181"/>
            <a:ext cx="43" cy="0"/>
          </a:xfrm>
          <a:prstGeom prst="line">
            <a:avLst/>
          </a:prstGeom>
          <a:noFill/>
          <a:ln w="190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28" name="Line 4642">
            <a:extLst>
              <a:ext uri="{FF2B5EF4-FFF2-40B4-BE49-F238E27FC236}">
                <a16:creationId xmlns:a16="http://schemas.microsoft.com/office/drawing/2014/main" id="{00000000-0008-0000-0100-000080000000}"/>
              </a:ext>
            </a:extLst>
          </xdr:cNvPr>
          <xdr:cNvSpPr>
            <a:spLocks noChangeAspect="1" noChangeShapeType="1"/>
          </xdr:cNvSpPr>
        </xdr:nvSpPr>
        <xdr:spPr bwMode="auto">
          <a:xfrm>
            <a:off x="1491" y="202"/>
            <a:ext cx="43" cy="0"/>
          </a:xfrm>
          <a:prstGeom prst="line">
            <a:avLst/>
          </a:prstGeom>
          <a:noFill/>
          <a:ln w="190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/>
  </xdr:twoCellAnchor>
  <xdr:twoCellAnchor>
    <xdr:from>
      <xdr:col>49</xdr:col>
      <xdr:colOff>9525</xdr:colOff>
      <xdr:row>15</xdr:row>
      <xdr:rowOff>57150</xdr:rowOff>
    </xdr:from>
    <xdr:to>
      <xdr:col>49</xdr:col>
      <xdr:colOff>9525</xdr:colOff>
      <xdr:row>21</xdr:row>
      <xdr:rowOff>123825</xdr:rowOff>
    </xdr:to>
    <xdr:sp macro="" textlink="">
      <xdr:nvSpPr>
        <xdr:cNvPr id="129" name="Line 3986">
          <a:extLst>
            <a:ext uri="{FF2B5EF4-FFF2-40B4-BE49-F238E27FC236}">
              <a16:creationId xmlns:a16="http://schemas.microsoft.com/office/drawing/2014/main" id="{00000000-0008-0000-0100-000081000000}"/>
            </a:ext>
          </a:extLst>
        </xdr:cNvPr>
        <xdr:cNvSpPr>
          <a:spLocks noChangeShapeType="1"/>
        </xdr:cNvSpPr>
      </xdr:nvSpPr>
      <xdr:spPr bwMode="auto">
        <a:xfrm flipH="1" flipV="1">
          <a:off x="9324975" y="2914650"/>
          <a:ext cx="0" cy="1209675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49</xdr:col>
      <xdr:colOff>9525</xdr:colOff>
      <xdr:row>11</xdr:row>
      <xdr:rowOff>0</xdr:rowOff>
    </xdr:from>
    <xdr:to>
      <xdr:col>49</xdr:col>
      <xdr:colOff>9525</xdr:colOff>
      <xdr:row>13</xdr:row>
      <xdr:rowOff>114300</xdr:rowOff>
    </xdr:to>
    <xdr:sp macro="" textlink="">
      <xdr:nvSpPr>
        <xdr:cNvPr id="130" name="Line 3986">
          <a:extLst>
            <a:ext uri="{FF2B5EF4-FFF2-40B4-BE49-F238E27FC236}">
              <a16:creationId xmlns:a16="http://schemas.microsoft.com/office/drawing/2014/main" id="{00000000-0008-0000-0100-000082000000}"/>
            </a:ext>
          </a:extLst>
        </xdr:cNvPr>
        <xdr:cNvSpPr>
          <a:spLocks noChangeShapeType="1"/>
        </xdr:cNvSpPr>
      </xdr:nvSpPr>
      <xdr:spPr bwMode="auto">
        <a:xfrm flipV="1">
          <a:off x="9324975" y="2095500"/>
          <a:ext cx="0" cy="49530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49</xdr:col>
      <xdr:colOff>9525</xdr:colOff>
      <xdr:row>22</xdr:row>
      <xdr:rowOff>114300</xdr:rowOff>
    </xdr:from>
    <xdr:to>
      <xdr:col>49</xdr:col>
      <xdr:colOff>9525</xdr:colOff>
      <xdr:row>27</xdr:row>
      <xdr:rowOff>28575</xdr:rowOff>
    </xdr:to>
    <xdr:sp macro="" textlink="">
      <xdr:nvSpPr>
        <xdr:cNvPr id="131" name="Line 3986">
          <a:extLst>
            <a:ext uri="{FF2B5EF4-FFF2-40B4-BE49-F238E27FC236}">
              <a16:creationId xmlns:a16="http://schemas.microsoft.com/office/drawing/2014/main" id="{00000000-0008-0000-0100-000083000000}"/>
            </a:ext>
          </a:extLst>
        </xdr:cNvPr>
        <xdr:cNvSpPr>
          <a:spLocks noChangeShapeType="1"/>
        </xdr:cNvSpPr>
      </xdr:nvSpPr>
      <xdr:spPr bwMode="auto">
        <a:xfrm flipV="1">
          <a:off x="9324975" y="4305300"/>
          <a:ext cx="0" cy="866775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48</xdr:col>
      <xdr:colOff>171450</xdr:colOff>
      <xdr:row>18</xdr:row>
      <xdr:rowOff>142875</xdr:rowOff>
    </xdr:from>
    <xdr:to>
      <xdr:col>49</xdr:col>
      <xdr:colOff>66675</xdr:colOff>
      <xdr:row>19</xdr:row>
      <xdr:rowOff>38100</xdr:rowOff>
    </xdr:to>
    <xdr:sp macro="" textlink="">
      <xdr:nvSpPr>
        <xdr:cNvPr id="132" name="Oval 4848">
          <a:extLst>
            <a:ext uri="{FF2B5EF4-FFF2-40B4-BE49-F238E27FC236}">
              <a16:creationId xmlns:a16="http://schemas.microsoft.com/office/drawing/2014/main" id="{00000000-0008-0000-0100-000084000000}"/>
            </a:ext>
          </a:extLst>
        </xdr:cNvPr>
        <xdr:cNvSpPr>
          <a:spLocks noChangeArrowheads="1"/>
        </xdr:cNvSpPr>
      </xdr:nvSpPr>
      <xdr:spPr bwMode="auto">
        <a:xfrm>
          <a:off x="9296400" y="3571875"/>
          <a:ext cx="85725" cy="8572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48</xdr:col>
      <xdr:colOff>152400</xdr:colOff>
      <xdr:row>26</xdr:row>
      <xdr:rowOff>142875</xdr:rowOff>
    </xdr:from>
    <xdr:to>
      <xdr:col>49</xdr:col>
      <xdr:colOff>47625</xdr:colOff>
      <xdr:row>27</xdr:row>
      <xdr:rowOff>38100</xdr:rowOff>
    </xdr:to>
    <xdr:sp macro="" textlink="">
      <xdr:nvSpPr>
        <xdr:cNvPr id="133" name="Oval 4848">
          <a:extLst>
            <a:ext uri="{FF2B5EF4-FFF2-40B4-BE49-F238E27FC236}">
              <a16:creationId xmlns:a16="http://schemas.microsoft.com/office/drawing/2014/main" id="{00000000-0008-0000-0100-000085000000}"/>
            </a:ext>
          </a:extLst>
        </xdr:cNvPr>
        <xdr:cNvSpPr>
          <a:spLocks noChangeArrowheads="1"/>
        </xdr:cNvSpPr>
      </xdr:nvSpPr>
      <xdr:spPr bwMode="auto">
        <a:xfrm>
          <a:off x="9277350" y="5095875"/>
          <a:ext cx="85725" cy="8572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51</xdr:col>
      <xdr:colOff>85725</xdr:colOff>
      <xdr:row>20</xdr:row>
      <xdr:rowOff>66675</xdr:rowOff>
    </xdr:from>
    <xdr:to>
      <xdr:col>52</xdr:col>
      <xdr:colOff>104775</xdr:colOff>
      <xdr:row>22</xdr:row>
      <xdr:rowOff>133350</xdr:rowOff>
    </xdr:to>
    <xdr:grpSp>
      <xdr:nvGrpSpPr>
        <xdr:cNvPr id="134" name="Group 3972">
          <a:extLst>
            <a:ext uri="{FF2B5EF4-FFF2-40B4-BE49-F238E27FC236}">
              <a16:creationId xmlns:a16="http://schemas.microsoft.com/office/drawing/2014/main" id="{00000000-0008-0000-0100-000086000000}"/>
            </a:ext>
          </a:extLst>
        </xdr:cNvPr>
        <xdr:cNvGrpSpPr>
          <a:grpSpLocks/>
        </xdr:cNvGrpSpPr>
      </xdr:nvGrpSpPr>
      <xdr:grpSpPr bwMode="auto">
        <a:xfrm>
          <a:off x="9801225" y="3876675"/>
          <a:ext cx="209550" cy="447675"/>
          <a:chOff x="1788" y="432"/>
          <a:chExt cx="22" cy="47"/>
        </a:xfrm>
      </xdr:grpSpPr>
      <xdr:sp macro="" textlink="">
        <xdr:nvSpPr>
          <xdr:cNvPr id="135" name="Line 3973">
            <a:extLst>
              <a:ext uri="{FF2B5EF4-FFF2-40B4-BE49-F238E27FC236}">
                <a16:creationId xmlns:a16="http://schemas.microsoft.com/office/drawing/2014/main" id="{00000000-0008-0000-0100-000087000000}"/>
              </a:ext>
            </a:extLst>
          </xdr:cNvPr>
          <xdr:cNvSpPr>
            <a:spLocks noChangeAspect="1" noChangeShapeType="1"/>
          </xdr:cNvSpPr>
        </xdr:nvSpPr>
        <xdr:spPr bwMode="auto">
          <a:xfrm rot="10800000">
            <a:off x="1799" y="445"/>
            <a:ext cx="11" cy="3"/>
          </a:xfrm>
          <a:prstGeom prst="line">
            <a:avLst/>
          </a:prstGeom>
          <a:noFill/>
          <a:ln w="190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6" name="Line 3974">
            <a:extLst>
              <a:ext uri="{FF2B5EF4-FFF2-40B4-BE49-F238E27FC236}">
                <a16:creationId xmlns:a16="http://schemas.microsoft.com/office/drawing/2014/main" id="{00000000-0008-0000-0100-000088000000}"/>
              </a:ext>
            </a:extLst>
          </xdr:cNvPr>
          <xdr:cNvSpPr>
            <a:spLocks noChangeAspect="1" noChangeShapeType="1"/>
          </xdr:cNvSpPr>
        </xdr:nvSpPr>
        <xdr:spPr bwMode="auto">
          <a:xfrm rot="10800000" flipV="1">
            <a:off x="1788" y="448"/>
            <a:ext cx="22" cy="6"/>
          </a:xfrm>
          <a:prstGeom prst="line">
            <a:avLst/>
          </a:prstGeom>
          <a:noFill/>
          <a:ln w="190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7" name="Line 3975">
            <a:extLst>
              <a:ext uri="{FF2B5EF4-FFF2-40B4-BE49-F238E27FC236}">
                <a16:creationId xmlns:a16="http://schemas.microsoft.com/office/drawing/2014/main" id="{00000000-0008-0000-0100-000089000000}"/>
              </a:ext>
            </a:extLst>
          </xdr:cNvPr>
          <xdr:cNvSpPr>
            <a:spLocks noChangeAspect="1" noChangeShapeType="1"/>
          </xdr:cNvSpPr>
        </xdr:nvSpPr>
        <xdr:spPr bwMode="auto">
          <a:xfrm rot="10800000">
            <a:off x="1788" y="454"/>
            <a:ext cx="22" cy="5"/>
          </a:xfrm>
          <a:prstGeom prst="line">
            <a:avLst/>
          </a:prstGeom>
          <a:noFill/>
          <a:ln w="190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8" name="Line 3976">
            <a:extLst>
              <a:ext uri="{FF2B5EF4-FFF2-40B4-BE49-F238E27FC236}">
                <a16:creationId xmlns:a16="http://schemas.microsoft.com/office/drawing/2014/main" id="{00000000-0008-0000-0100-00008A000000}"/>
              </a:ext>
            </a:extLst>
          </xdr:cNvPr>
          <xdr:cNvSpPr>
            <a:spLocks noChangeAspect="1" noChangeShapeType="1"/>
          </xdr:cNvSpPr>
        </xdr:nvSpPr>
        <xdr:spPr bwMode="auto">
          <a:xfrm rot="10800000" flipV="1">
            <a:off x="1788" y="459"/>
            <a:ext cx="22" cy="6"/>
          </a:xfrm>
          <a:prstGeom prst="line">
            <a:avLst/>
          </a:prstGeom>
          <a:noFill/>
          <a:ln w="190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9" name="Line 3977">
            <a:extLst>
              <a:ext uri="{FF2B5EF4-FFF2-40B4-BE49-F238E27FC236}">
                <a16:creationId xmlns:a16="http://schemas.microsoft.com/office/drawing/2014/main" id="{00000000-0008-0000-0100-00008B000000}"/>
              </a:ext>
            </a:extLst>
          </xdr:cNvPr>
          <xdr:cNvSpPr>
            <a:spLocks noChangeAspect="1" noChangeShapeType="1"/>
          </xdr:cNvSpPr>
        </xdr:nvSpPr>
        <xdr:spPr bwMode="auto">
          <a:xfrm rot="10800000">
            <a:off x="1788" y="465"/>
            <a:ext cx="22" cy="5"/>
          </a:xfrm>
          <a:prstGeom prst="line">
            <a:avLst/>
          </a:prstGeom>
          <a:noFill/>
          <a:ln w="190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0" name="Line 3978">
            <a:extLst>
              <a:ext uri="{FF2B5EF4-FFF2-40B4-BE49-F238E27FC236}">
                <a16:creationId xmlns:a16="http://schemas.microsoft.com/office/drawing/2014/main" id="{00000000-0008-0000-0100-00008C000000}"/>
              </a:ext>
            </a:extLst>
          </xdr:cNvPr>
          <xdr:cNvSpPr>
            <a:spLocks noChangeAspect="1" noChangeShapeType="1"/>
          </xdr:cNvSpPr>
        </xdr:nvSpPr>
        <xdr:spPr bwMode="auto">
          <a:xfrm rot="10800000" flipV="1">
            <a:off x="1788" y="470"/>
            <a:ext cx="22" cy="6"/>
          </a:xfrm>
          <a:prstGeom prst="line">
            <a:avLst/>
          </a:prstGeom>
          <a:noFill/>
          <a:ln w="190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1" name="Line 3979">
            <a:extLst>
              <a:ext uri="{FF2B5EF4-FFF2-40B4-BE49-F238E27FC236}">
                <a16:creationId xmlns:a16="http://schemas.microsoft.com/office/drawing/2014/main" id="{00000000-0008-0000-0100-00008D000000}"/>
              </a:ext>
            </a:extLst>
          </xdr:cNvPr>
          <xdr:cNvSpPr>
            <a:spLocks noChangeAspect="1" noChangeShapeType="1"/>
          </xdr:cNvSpPr>
        </xdr:nvSpPr>
        <xdr:spPr bwMode="auto">
          <a:xfrm rot="10800000">
            <a:off x="1788" y="476"/>
            <a:ext cx="11" cy="3"/>
          </a:xfrm>
          <a:prstGeom prst="line">
            <a:avLst/>
          </a:prstGeom>
          <a:noFill/>
          <a:ln w="190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2" name="Line 3980">
            <a:extLst>
              <a:ext uri="{FF2B5EF4-FFF2-40B4-BE49-F238E27FC236}">
                <a16:creationId xmlns:a16="http://schemas.microsoft.com/office/drawing/2014/main" id="{00000000-0008-0000-0100-00008E000000}"/>
              </a:ext>
            </a:extLst>
          </xdr:cNvPr>
          <xdr:cNvSpPr>
            <a:spLocks noChangeAspect="1" noChangeShapeType="1"/>
          </xdr:cNvSpPr>
        </xdr:nvSpPr>
        <xdr:spPr bwMode="auto">
          <a:xfrm rot="10800000">
            <a:off x="1799" y="432"/>
            <a:ext cx="0" cy="14"/>
          </a:xfrm>
          <a:prstGeom prst="line">
            <a:avLst/>
          </a:prstGeom>
          <a:noFill/>
          <a:ln w="190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49</xdr:col>
      <xdr:colOff>9525</xdr:colOff>
      <xdr:row>19</xdr:row>
      <xdr:rowOff>0</xdr:rowOff>
    </xdr:from>
    <xdr:to>
      <xdr:col>51</xdr:col>
      <xdr:colOff>190500</xdr:colOff>
      <xdr:row>20</xdr:row>
      <xdr:rowOff>76200</xdr:rowOff>
    </xdr:to>
    <xdr:sp macro="" textlink="">
      <xdr:nvSpPr>
        <xdr:cNvPr id="143" name="Freeform 3956">
          <a:extLst>
            <a:ext uri="{FF2B5EF4-FFF2-40B4-BE49-F238E27FC236}">
              <a16:creationId xmlns:a16="http://schemas.microsoft.com/office/drawing/2014/main" id="{00000000-0008-0000-0100-00008F000000}"/>
            </a:ext>
          </a:extLst>
        </xdr:cNvPr>
        <xdr:cNvSpPr>
          <a:spLocks/>
        </xdr:cNvSpPr>
      </xdr:nvSpPr>
      <xdr:spPr bwMode="auto">
        <a:xfrm>
          <a:off x="9324975" y="3619500"/>
          <a:ext cx="561975" cy="266700"/>
        </a:xfrm>
        <a:custGeom>
          <a:avLst/>
          <a:gdLst>
            <a:gd name="T0" fmla="*/ 0 w 160"/>
            <a:gd name="T1" fmla="*/ 0 h 84"/>
            <a:gd name="T2" fmla="*/ 2147483647 w 160"/>
            <a:gd name="T3" fmla="*/ 0 h 84"/>
            <a:gd name="T4" fmla="*/ 2147483647 w 160"/>
            <a:gd name="T5" fmla="*/ 2147483647 h 84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160" h="84">
              <a:moveTo>
                <a:pt x="0" y="0"/>
              </a:moveTo>
              <a:lnTo>
                <a:pt x="160" y="0"/>
              </a:lnTo>
              <a:lnTo>
                <a:pt x="160" y="84"/>
              </a:lnTo>
            </a:path>
          </a:pathLst>
        </a:custGeom>
        <a:noFill/>
        <a:ln w="19050" cap="flat" cmpd="sng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51</xdr:col>
      <xdr:colOff>190500</xdr:colOff>
      <xdr:row>22</xdr:row>
      <xdr:rowOff>133350</xdr:rowOff>
    </xdr:from>
    <xdr:to>
      <xdr:col>51</xdr:col>
      <xdr:colOff>190500</xdr:colOff>
      <xdr:row>26</xdr:row>
      <xdr:rowOff>180975</xdr:rowOff>
    </xdr:to>
    <xdr:sp macro="" textlink="">
      <xdr:nvSpPr>
        <xdr:cNvPr id="144" name="Line 3986">
          <a:extLst>
            <a:ext uri="{FF2B5EF4-FFF2-40B4-BE49-F238E27FC236}">
              <a16:creationId xmlns:a16="http://schemas.microsoft.com/office/drawing/2014/main" id="{00000000-0008-0000-0100-000090000000}"/>
            </a:ext>
          </a:extLst>
        </xdr:cNvPr>
        <xdr:cNvSpPr>
          <a:spLocks noChangeShapeType="1"/>
        </xdr:cNvSpPr>
      </xdr:nvSpPr>
      <xdr:spPr bwMode="auto">
        <a:xfrm flipV="1">
          <a:off x="9886950" y="4324350"/>
          <a:ext cx="0" cy="809625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48</xdr:col>
      <xdr:colOff>161925</xdr:colOff>
      <xdr:row>18</xdr:row>
      <xdr:rowOff>142875</xdr:rowOff>
    </xdr:from>
    <xdr:to>
      <xdr:col>49</xdr:col>
      <xdr:colOff>57150</xdr:colOff>
      <xdr:row>19</xdr:row>
      <xdr:rowOff>38100</xdr:rowOff>
    </xdr:to>
    <xdr:sp macro="" textlink="">
      <xdr:nvSpPr>
        <xdr:cNvPr id="145" name="Oval 4848">
          <a:extLst>
            <a:ext uri="{FF2B5EF4-FFF2-40B4-BE49-F238E27FC236}">
              <a16:creationId xmlns:a16="http://schemas.microsoft.com/office/drawing/2014/main" id="{00000000-0008-0000-0100-000091000000}"/>
            </a:ext>
          </a:extLst>
        </xdr:cNvPr>
        <xdr:cNvSpPr>
          <a:spLocks noChangeArrowheads="1"/>
        </xdr:cNvSpPr>
      </xdr:nvSpPr>
      <xdr:spPr bwMode="auto">
        <a:xfrm>
          <a:off x="9286875" y="3571875"/>
          <a:ext cx="85725" cy="8572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51</xdr:col>
      <xdr:colOff>123825</xdr:colOff>
      <xdr:row>26</xdr:row>
      <xdr:rowOff>142875</xdr:rowOff>
    </xdr:from>
    <xdr:to>
      <xdr:col>52</xdr:col>
      <xdr:colOff>19050</xdr:colOff>
      <xdr:row>27</xdr:row>
      <xdr:rowOff>38100</xdr:rowOff>
    </xdr:to>
    <xdr:sp macro="" textlink="">
      <xdr:nvSpPr>
        <xdr:cNvPr id="146" name="Oval 4848">
          <a:extLst>
            <a:ext uri="{FF2B5EF4-FFF2-40B4-BE49-F238E27FC236}">
              <a16:creationId xmlns:a16="http://schemas.microsoft.com/office/drawing/2014/main" id="{00000000-0008-0000-0100-000092000000}"/>
            </a:ext>
          </a:extLst>
        </xdr:cNvPr>
        <xdr:cNvSpPr>
          <a:spLocks noChangeArrowheads="1"/>
        </xdr:cNvSpPr>
      </xdr:nvSpPr>
      <xdr:spPr bwMode="auto">
        <a:xfrm>
          <a:off x="9820275" y="5095875"/>
          <a:ext cx="85725" cy="8572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62</xdr:col>
      <xdr:colOff>19050</xdr:colOff>
      <xdr:row>21</xdr:row>
      <xdr:rowOff>104775</xdr:rowOff>
    </xdr:from>
    <xdr:to>
      <xdr:col>63</xdr:col>
      <xdr:colOff>133350</xdr:colOff>
      <xdr:row>22</xdr:row>
      <xdr:rowOff>57150</xdr:rowOff>
    </xdr:to>
    <xdr:grpSp>
      <xdr:nvGrpSpPr>
        <xdr:cNvPr id="147" name="Group 4640">
          <a:extLst>
            <a:ext uri="{FF2B5EF4-FFF2-40B4-BE49-F238E27FC236}">
              <a16:creationId xmlns:a16="http://schemas.microsoft.com/office/drawing/2014/main" id="{00000000-0008-0000-0100-000093000000}"/>
            </a:ext>
          </a:extLst>
        </xdr:cNvPr>
        <xdr:cNvGrpSpPr>
          <a:grpSpLocks noChangeAspect="1"/>
        </xdr:cNvGrpSpPr>
      </xdr:nvGrpSpPr>
      <xdr:grpSpPr bwMode="auto">
        <a:xfrm>
          <a:off x="11830050" y="4105275"/>
          <a:ext cx="304800" cy="142875"/>
          <a:chOff x="1491" y="181"/>
          <a:chExt cx="43" cy="21"/>
        </a:xfrm>
      </xdr:grpSpPr>
      <xdr:sp macro="" textlink="">
        <xdr:nvSpPr>
          <xdr:cNvPr id="148" name="Line 4641">
            <a:extLst>
              <a:ext uri="{FF2B5EF4-FFF2-40B4-BE49-F238E27FC236}">
                <a16:creationId xmlns:a16="http://schemas.microsoft.com/office/drawing/2014/main" id="{00000000-0008-0000-0100-000094000000}"/>
              </a:ext>
            </a:extLst>
          </xdr:cNvPr>
          <xdr:cNvSpPr>
            <a:spLocks noChangeAspect="1" noChangeShapeType="1"/>
          </xdr:cNvSpPr>
        </xdr:nvSpPr>
        <xdr:spPr bwMode="auto">
          <a:xfrm>
            <a:off x="1491" y="181"/>
            <a:ext cx="43" cy="0"/>
          </a:xfrm>
          <a:prstGeom prst="line">
            <a:avLst/>
          </a:prstGeom>
          <a:noFill/>
          <a:ln w="190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49" name="Line 4642">
            <a:extLst>
              <a:ext uri="{FF2B5EF4-FFF2-40B4-BE49-F238E27FC236}">
                <a16:creationId xmlns:a16="http://schemas.microsoft.com/office/drawing/2014/main" id="{00000000-0008-0000-0100-000095000000}"/>
              </a:ext>
            </a:extLst>
          </xdr:cNvPr>
          <xdr:cNvSpPr>
            <a:spLocks noChangeAspect="1" noChangeShapeType="1"/>
          </xdr:cNvSpPr>
        </xdr:nvSpPr>
        <xdr:spPr bwMode="auto">
          <a:xfrm>
            <a:off x="1491" y="202"/>
            <a:ext cx="43" cy="0"/>
          </a:xfrm>
          <a:prstGeom prst="line">
            <a:avLst/>
          </a:prstGeom>
          <a:noFill/>
          <a:ln w="190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/>
  </xdr:twoCellAnchor>
  <xdr:twoCellAnchor>
    <xdr:from>
      <xdr:col>62</xdr:col>
      <xdr:colOff>171450</xdr:colOff>
      <xdr:row>11</xdr:row>
      <xdr:rowOff>28575</xdr:rowOff>
    </xdr:from>
    <xdr:to>
      <xdr:col>62</xdr:col>
      <xdr:colOff>171450</xdr:colOff>
      <xdr:row>21</xdr:row>
      <xdr:rowOff>104775</xdr:rowOff>
    </xdr:to>
    <xdr:sp macro="" textlink="">
      <xdr:nvSpPr>
        <xdr:cNvPr id="150" name="Line 3986">
          <a:extLst>
            <a:ext uri="{FF2B5EF4-FFF2-40B4-BE49-F238E27FC236}">
              <a16:creationId xmlns:a16="http://schemas.microsoft.com/office/drawing/2014/main" id="{00000000-0008-0000-0100-000096000000}"/>
            </a:ext>
          </a:extLst>
        </xdr:cNvPr>
        <xdr:cNvSpPr>
          <a:spLocks noChangeShapeType="1"/>
        </xdr:cNvSpPr>
      </xdr:nvSpPr>
      <xdr:spPr bwMode="auto">
        <a:xfrm flipV="1">
          <a:off x="11963400" y="2124075"/>
          <a:ext cx="0" cy="198120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62</xdr:col>
      <xdr:colOff>171450</xdr:colOff>
      <xdr:row>22</xdr:row>
      <xdr:rowOff>104775</xdr:rowOff>
    </xdr:from>
    <xdr:to>
      <xdr:col>62</xdr:col>
      <xdr:colOff>171450</xdr:colOff>
      <xdr:row>27</xdr:row>
      <xdr:rowOff>19050</xdr:rowOff>
    </xdr:to>
    <xdr:sp macro="" textlink="">
      <xdr:nvSpPr>
        <xdr:cNvPr id="151" name="Line 3986">
          <a:extLst>
            <a:ext uri="{FF2B5EF4-FFF2-40B4-BE49-F238E27FC236}">
              <a16:creationId xmlns:a16="http://schemas.microsoft.com/office/drawing/2014/main" id="{00000000-0008-0000-0100-000097000000}"/>
            </a:ext>
          </a:extLst>
        </xdr:cNvPr>
        <xdr:cNvSpPr>
          <a:spLocks noChangeShapeType="1"/>
        </xdr:cNvSpPr>
      </xdr:nvSpPr>
      <xdr:spPr bwMode="auto">
        <a:xfrm flipV="1">
          <a:off x="11963400" y="4295775"/>
          <a:ext cx="0" cy="866775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70</xdr:col>
      <xdr:colOff>123825</xdr:colOff>
      <xdr:row>20</xdr:row>
      <xdr:rowOff>123825</xdr:rowOff>
    </xdr:from>
    <xdr:to>
      <xdr:col>71</xdr:col>
      <xdr:colOff>142875</xdr:colOff>
      <xdr:row>23</xdr:row>
      <xdr:rowOff>0</xdr:rowOff>
    </xdr:to>
    <xdr:grpSp>
      <xdr:nvGrpSpPr>
        <xdr:cNvPr id="152" name="Group 4836">
          <a:extLst>
            <a:ext uri="{FF2B5EF4-FFF2-40B4-BE49-F238E27FC236}">
              <a16:creationId xmlns:a16="http://schemas.microsoft.com/office/drawing/2014/main" id="{00000000-0008-0000-0100-000098000000}"/>
            </a:ext>
          </a:extLst>
        </xdr:cNvPr>
        <xdr:cNvGrpSpPr>
          <a:grpSpLocks/>
        </xdr:cNvGrpSpPr>
      </xdr:nvGrpSpPr>
      <xdr:grpSpPr bwMode="auto">
        <a:xfrm>
          <a:off x="13458825" y="3933825"/>
          <a:ext cx="209550" cy="447675"/>
          <a:chOff x="1788" y="432"/>
          <a:chExt cx="22" cy="47"/>
        </a:xfrm>
      </xdr:grpSpPr>
      <xdr:sp macro="" textlink="">
        <xdr:nvSpPr>
          <xdr:cNvPr id="153" name="Line 4837">
            <a:extLst>
              <a:ext uri="{FF2B5EF4-FFF2-40B4-BE49-F238E27FC236}">
                <a16:creationId xmlns:a16="http://schemas.microsoft.com/office/drawing/2014/main" id="{00000000-0008-0000-0100-000099000000}"/>
              </a:ext>
            </a:extLst>
          </xdr:cNvPr>
          <xdr:cNvSpPr>
            <a:spLocks noChangeAspect="1" noChangeShapeType="1"/>
          </xdr:cNvSpPr>
        </xdr:nvSpPr>
        <xdr:spPr bwMode="auto">
          <a:xfrm rot="10800000">
            <a:off x="1799" y="445"/>
            <a:ext cx="11" cy="3"/>
          </a:xfrm>
          <a:prstGeom prst="line">
            <a:avLst/>
          </a:prstGeom>
          <a:noFill/>
          <a:ln w="190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4" name="Line 4838">
            <a:extLst>
              <a:ext uri="{FF2B5EF4-FFF2-40B4-BE49-F238E27FC236}">
                <a16:creationId xmlns:a16="http://schemas.microsoft.com/office/drawing/2014/main" id="{00000000-0008-0000-0100-00009A000000}"/>
              </a:ext>
            </a:extLst>
          </xdr:cNvPr>
          <xdr:cNvSpPr>
            <a:spLocks noChangeAspect="1" noChangeShapeType="1"/>
          </xdr:cNvSpPr>
        </xdr:nvSpPr>
        <xdr:spPr bwMode="auto">
          <a:xfrm rot="10800000" flipV="1">
            <a:off x="1788" y="448"/>
            <a:ext cx="22" cy="6"/>
          </a:xfrm>
          <a:prstGeom prst="line">
            <a:avLst/>
          </a:prstGeom>
          <a:noFill/>
          <a:ln w="190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5" name="Line 4839">
            <a:extLst>
              <a:ext uri="{FF2B5EF4-FFF2-40B4-BE49-F238E27FC236}">
                <a16:creationId xmlns:a16="http://schemas.microsoft.com/office/drawing/2014/main" id="{00000000-0008-0000-0100-00009B000000}"/>
              </a:ext>
            </a:extLst>
          </xdr:cNvPr>
          <xdr:cNvSpPr>
            <a:spLocks noChangeAspect="1" noChangeShapeType="1"/>
          </xdr:cNvSpPr>
        </xdr:nvSpPr>
        <xdr:spPr bwMode="auto">
          <a:xfrm rot="10800000">
            <a:off x="1788" y="454"/>
            <a:ext cx="22" cy="5"/>
          </a:xfrm>
          <a:prstGeom prst="line">
            <a:avLst/>
          </a:prstGeom>
          <a:noFill/>
          <a:ln w="190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6" name="Line 4840">
            <a:extLst>
              <a:ext uri="{FF2B5EF4-FFF2-40B4-BE49-F238E27FC236}">
                <a16:creationId xmlns:a16="http://schemas.microsoft.com/office/drawing/2014/main" id="{00000000-0008-0000-0100-00009C000000}"/>
              </a:ext>
            </a:extLst>
          </xdr:cNvPr>
          <xdr:cNvSpPr>
            <a:spLocks noChangeAspect="1" noChangeShapeType="1"/>
          </xdr:cNvSpPr>
        </xdr:nvSpPr>
        <xdr:spPr bwMode="auto">
          <a:xfrm rot="10800000" flipV="1">
            <a:off x="1788" y="459"/>
            <a:ext cx="22" cy="6"/>
          </a:xfrm>
          <a:prstGeom prst="line">
            <a:avLst/>
          </a:prstGeom>
          <a:noFill/>
          <a:ln w="190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7" name="Line 4841">
            <a:extLst>
              <a:ext uri="{FF2B5EF4-FFF2-40B4-BE49-F238E27FC236}">
                <a16:creationId xmlns:a16="http://schemas.microsoft.com/office/drawing/2014/main" id="{00000000-0008-0000-0100-00009D000000}"/>
              </a:ext>
            </a:extLst>
          </xdr:cNvPr>
          <xdr:cNvSpPr>
            <a:spLocks noChangeAspect="1" noChangeShapeType="1"/>
          </xdr:cNvSpPr>
        </xdr:nvSpPr>
        <xdr:spPr bwMode="auto">
          <a:xfrm rot="10800000">
            <a:off x="1788" y="465"/>
            <a:ext cx="22" cy="5"/>
          </a:xfrm>
          <a:prstGeom prst="line">
            <a:avLst/>
          </a:prstGeom>
          <a:noFill/>
          <a:ln w="190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8" name="Line 4842">
            <a:extLst>
              <a:ext uri="{FF2B5EF4-FFF2-40B4-BE49-F238E27FC236}">
                <a16:creationId xmlns:a16="http://schemas.microsoft.com/office/drawing/2014/main" id="{00000000-0008-0000-0100-00009E000000}"/>
              </a:ext>
            </a:extLst>
          </xdr:cNvPr>
          <xdr:cNvSpPr>
            <a:spLocks noChangeAspect="1" noChangeShapeType="1"/>
          </xdr:cNvSpPr>
        </xdr:nvSpPr>
        <xdr:spPr bwMode="auto">
          <a:xfrm rot="10800000" flipV="1">
            <a:off x="1788" y="470"/>
            <a:ext cx="22" cy="6"/>
          </a:xfrm>
          <a:prstGeom prst="line">
            <a:avLst/>
          </a:prstGeom>
          <a:noFill/>
          <a:ln w="190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9" name="Line 4843">
            <a:extLst>
              <a:ext uri="{FF2B5EF4-FFF2-40B4-BE49-F238E27FC236}">
                <a16:creationId xmlns:a16="http://schemas.microsoft.com/office/drawing/2014/main" id="{00000000-0008-0000-0100-00009F000000}"/>
              </a:ext>
            </a:extLst>
          </xdr:cNvPr>
          <xdr:cNvSpPr>
            <a:spLocks noChangeAspect="1" noChangeShapeType="1"/>
          </xdr:cNvSpPr>
        </xdr:nvSpPr>
        <xdr:spPr bwMode="auto">
          <a:xfrm rot="10800000">
            <a:off x="1788" y="476"/>
            <a:ext cx="11" cy="3"/>
          </a:xfrm>
          <a:prstGeom prst="line">
            <a:avLst/>
          </a:prstGeom>
          <a:noFill/>
          <a:ln w="190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60" name="Line 4844">
            <a:extLst>
              <a:ext uri="{FF2B5EF4-FFF2-40B4-BE49-F238E27FC236}">
                <a16:creationId xmlns:a16="http://schemas.microsoft.com/office/drawing/2014/main" id="{00000000-0008-0000-0100-0000A0000000}"/>
              </a:ext>
            </a:extLst>
          </xdr:cNvPr>
          <xdr:cNvSpPr>
            <a:spLocks noChangeAspect="1" noChangeShapeType="1"/>
          </xdr:cNvSpPr>
        </xdr:nvSpPr>
        <xdr:spPr bwMode="auto">
          <a:xfrm rot="10800000">
            <a:off x="1799" y="432"/>
            <a:ext cx="0" cy="14"/>
          </a:xfrm>
          <a:prstGeom prst="line">
            <a:avLst/>
          </a:prstGeom>
          <a:noFill/>
          <a:ln w="190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71</xdr:col>
      <xdr:colOff>38100</xdr:colOff>
      <xdr:row>10</xdr:row>
      <xdr:rowOff>190500</xdr:rowOff>
    </xdr:from>
    <xdr:to>
      <xdr:col>71</xdr:col>
      <xdr:colOff>38100</xdr:colOff>
      <xdr:row>20</xdr:row>
      <xdr:rowOff>142875</xdr:rowOff>
    </xdr:to>
    <xdr:sp macro="" textlink="">
      <xdr:nvSpPr>
        <xdr:cNvPr id="161" name="Line 4847">
          <a:extLst>
            <a:ext uri="{FF2B5EF4-FFF2-40B4-BE49-F238E27FC236}">
              <a16:creationId xmlns:a16="http://schemas.microsoft.com/office/drawing/2014/main" id="{00000000-0008-0000-0100-0000A1000000}"/>
            </a:ext>
          </a:extLst>
        </xdr:cNvPr>
        <xdr:cNvSpPr>
          <a:spLocks noChangeShapeType="1"/>
        </xdr:cNvSpPr>
      </xdr:nvSpPr>
      <xdr:spPr bwMode="auto">
        <a:xfrm>
          <a:off x="13544550" y="2095500"/>
          <a:ext cx="0" cy="1857375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70</xdr:col>
      <xdr:colOff>188384</xdr:colOff>
      <xdr:row>10</xdr:row>
      <xdr:rowOff>180975</xdr:rowOff>
    </xdr:from>
    <xdr:to>
      <xdr:col>71</xdr:col>
      <xdr:colOff>83609</xdr:colOff>
      <xdr:row>11</xdr:row>
      <xdr:rowOff>76200</xdr:rowOff>
    </xdr:to>
    <xdr:sp macro="" textlink="">
      <xdr:nvSpPr>
        <xdr:cNvPr id="162" name="Oval 4848">
          <a:extLst>
            <a:ext uri="{FF2B5EF4-FFF2-40B4-BE49-F238E27FC236}">
              <a16:creationId xmlns:a16="http://schemas.microsoft.com/office/drawing/2014/main" id="{00000000-0008-0000-0100-0000A2000000}"/>
            </a:ext>
          </a:extLst>
        </xdr:cNvPr>
        <xdr:cNvSpPr>
          <a:spLocks noChangeArrowheads="1"/>
        </xdr:cNvSpPr>
      </xdr:nvSpPr>
      <xdr:spPr bwMode="auto">
        <a:xfrm>
          <a:off x="13504334" y="2085975"/>
          <a:ext cx="85725" cy="8572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71</xdr:col>
      <xdr:colOff>38100</xdr:colOff>
      <xdr:row>22</xdr:row>
      <xdr:rowOff>190500</xdr:rowOff>
    </xdr:from>
    <xdr:to>
      <xdr:col>71</xdr:col>
      <xdr:colOff>38100</xdr:colOff>
      <xdr:row>26</xdr:row>
      <xdr:rowOff>171450</xdr:rowOff>
    </xdr:to>
    <xdr:sp macro="" textlink="">
      <xdr:nvSpPr>
        <xdr:cNvPr id="163" name="Line 4850">
          <a:extLst>
            <a:ext uri="{FF2B5EF4-FFF2-40B4-BE49-F238E27FC236}">
              <a16:creationId xmlns:a16="http://schemas.microsoft.com/office/drawing/2014/main" id="{00000000-0008-0000-0100-0000A3000000}"/>
            </a:ext>
          </a:extLst>
        </xdr:cNvPr>
        <xdr:cNvSpPr>
          <a:spLocks noChangeShapeType="1"/>
        </xdr:cNvSpPr>
      </xdr:nvSpPr>
      <xdr:spPr bwMode="auto">
        <a:xfrm>
          <a:off x="13544550" y="4381500"/>
          <a:ext cx="0" cy="74295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71</xdr:col>
      <xdr:colOff>0</xdr:colOff>
      <xdr:row>26</xdr:row>
      <xdr:rowOff>180975</xdr:rowOff>
    </xdr:from>
    <xdr:to>
      <xdr:col>71</xdr:col>
      <xdr:colOff>85725</xdr:colOff>
      <xdr:row>27</xdr:row>
      <xdr:rowOff>76200</xdr:rowOff>
    </xdr:to>
    <xdr:sp macro="" textlink="">
      <xdr:nvSpPr>
        <xdr:cNvPr id="164" name="Oval 4000">
          <a:extLst>
            <a:ext uri="{FF2B5EF4-FFF2-40B4-BE49-F238E27FC236}">
              <a16:creationId xmlns:a16="http://schemas.microsoft.com/office/drawing/2014/main" id="{00000000-0008-0000-0100-0000A4000000}"/>
            </a:ext>
          </a:extLst>
        </xdr:cNvPr>
        <xdr:cNvSpPr>
          <a:spLocks noChangeArrowheads="1"/>
        </xdr:cNvSpPr>
      </xdr:nvSpPr>
      <xdr:spPr bwMode="auto">
        <a:xfrm>
          <a:off x="13506450" y="5133975"/>
          <a:ext cx="85725" cy="8572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10</xdr:col>
      <xdr:colOff>142875</xdr:colOff>
      <xdr:row>7</xdr:row>
      <xdr:rowOff>76200</xdr:rowOff>
    </xdr:from>
    <xdr:to>
      <xdr:col>13</xdr:col>
      <xdr:colOff>161925</xdr:colOff>
      <xdr:row>8</xdr:row>
      <xdr:rowOff>95250</xdr:rowOff>
    </xdr:to>
    <xdr:grpSp>
      <xdr:nvGrpSpPr>
        <xdr:cNvPr id="165" name="Group 4624">
          <a:extLst>
            <a:ext uri="{FF2B5EF4-FFF2-40B4-BE49-F238E27FC236}">
              <a16:creationId xmlns:a16="http://schemas.microsoft.com/office/drawing/2014/main" id="{00000000-0008-0000-0100-0000A5000000}"/>
            </a:ext>
          </a:extLst>
        </xdr:cNvPr>
        <xdr:cNvGrpSpPr>
          <a:grpSpLocks/>
        </xdr:cNvGrpSpPr>
      </xdr:nvGrpSpPr>
      <xdr:grpSpPr bwMode="auto">
        <a:xfrm>
          <a:off x="2047875" y="1409700"/>
          <a:ext cx="590550" cy="209550"/>
          <a:chOff x="965" y="749"/>
          <a:chExt cx="62" cy="22"/>
        </a:xfrm>
      </xdr:grpSpPr>
      <xdr:sp macro="" textlink="">
        <xdr:nvSpPr>
          <xdr:cNvPr id="166" name="Line 4625">
            <a:extLst>
              <a:ext uri="{FF2B5EF4-FFF2-40B4-BE49-F238E27FC236}">
                <a16:creationId xmlns:a16="http://schemas.microsoft.com/office/drawing/2014/main" id="{00000000-0008-0000-0100-0000A6000000}"/>
              </a:ext>
            </a:extLst>
          </xdr:cNvPr>
          <xdr:cNvSpPr>
            <a:spLocks noChangeAspect="1" noChangeShapeType="1"/>
          </xdr:cNvSpPr>
        </xdr:nvSpPr>
        <xdr:spPr bwMode="auto">
          <a:xfrm rot="-5400000">
            <a:off x="1006" y="764"/>
            <a:ext cx="11" cy="3"/>
          </a:xfrm>
          <a:prstGeom prst="line">
            <a:avLst/>
          </a:prstGeom>
          <a:noFill/>
          <a:ln w="190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67" name="Line 4626">
            <a:extLst>
              <a:ext uri="{FF2B5EF4-FFF2-40B4-BE49-F238E27FC236}">
                <a16:creationId xmlns:a16="http://schemas.microsoft.com/office/drawing/2014/main" id="{00000000-0008-0000-0100-0000A7000000}"/>
              </a:ext>
            </a:extLst>
          </xdr:cNvPr>
          <xdr:cNvSpPr>
            <a:spLocks noChangeAspect="1" noChangeShapeType="1"/>
          </xdr:cNvSpPr>
        </xdr:nvSpPr>
        <xdr:spPr bwMode="auto">
          <a:xfrm rot="16200000" flipV="1">
            <a:off x="996" y="757"/>
            <a:ext cx="22" cy="6"/>
          </a:xfrm>
          <a:prstGeom prst="line">
            <a:avLst/>
          </a:prstGeom>
          <a:noFill/>
          <a:ln w="190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68" name="Line 4627">
            <a:extLst>
              <a:ext uri="{FF2B5EF4-FFF2-40B4-BE49-F238E27FC236}">
                <a16:creationId xmlns:a16="http://schemas.microsoft.com/office/drawing/2014/main" id="{00000000-0008-0000-0100-0000A8000000}"/>
              </a:ext>
            </a:extLst>
          </xdr:cNvPr>
          <xdr:cNvSpPr>
            <a:spLocks noChangeAspect="1" noChangeShapeType="1"/>
          </xdr:cNvSpPr>
        </xdr:nvSpPr>
        <xdr:spPr bwMode="auto">
          <a:xfrm rot="-5400000">
            <a:off x="990" y="757"/>
            <a:ext cx="22" cy="5"/>
          </a:xfrm>
          <a:prstGeom prst="line">
            <a:avLst/>
          </a:prstGeom>
          <a:noFill/>
          <a:ln w="190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69" name="Line 4628">
            <a:extLst>
              <a:ext uri="{FF2B5EF4-FFF2-40B4-BE49-F238E27FC236}">
                <a16:creationId xmlns:a16="http://schemas.microsoft.com/office/drawing/2014/main" id="{00000000-0008-0000-0100-0000A9000000}"/>
              </a:ext>
            </a:extLst>
          </xdr:cNvPr>
          <xdr:cNvSpPr>
            <a:spLocks noChangeAspect="1" noChangeShapeType="1"/>
          </xdr:cNvSpPr>
        </xdr:nvSpPr>
        <xdr:spPr bwMode="auto">
          <a:xfrm rot="16200000" flipV="1">
            <a:off x="985" y="757"/>
            <a:ext cx="22" cy="6"/>
          </a:xfrm>
          <a:prstGeom prst="line">
            <a:avLst/>
          </a:prstGeom>
          <a:noFill/>
          <a:ln w="190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70" name="Line 4629">
            <a:extLst>
              <a:ext uri="{FF2B5EF4-FFF2-40B4-BE49-F238E27FC236}">
                <a16:creationId xmlns:a16="http://schemas.microsoft.com/office/drawing/2014/main" id="{00000000-0008-0000-0100-0000AA000000}"/>
              </a:ext>
            </a:extLst>
          </xdr:cNvPr>
          <xdr:cNvSpPr>
            <a:spLocks noChangeAspect="1" noChangeShapeType="1"/>
          </xdr:cNvSpPr>
        </xdr:nvSpPr>
        <xdr:spPr bwMode="auto">
          <a:xfrm rot="-5400000">
            <a:off x="979" y="757"/>
            <a:ext cx="22" cy="5"/>
          </a:xfrm>
          <a:prstGeom prst="line">
            <a:avLst/>
          </a:prstGeom>
          <a:noFill/>
          <a:ln w="190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71" name="Line 4630">
            <a:extLst>
              <a:ext uri="{FF2B5EF4-FFF2-40B4-BE49-F238E27FC236}">
                <a16:creationId xmlns:a16="http://schemas.microsoft.com/office/drawing/2014/main" id="{00000000-0008-0000-0100-0000AB000000}"/>
              </a:ext>
            </a:extLst>
          </xdr:cNvPr>
          <xdr:cNvSpPr>
            <a:spLocks noChangeAspect="1" noChangeShapeType="1"/>
          </xdr:cNvSpPr>
        </xdr:nvSpPr>
        <xdr:spPr bwMode="auto">
          <a:xfrm rot="16200000" flipV="1">
            <a:off x="973" y="757"/>
            <a:ext cx="22" cy="6"/>
          </a:xfrm>
          <a:prstGeom prst="line">
            <a:avLst/>
          </a:prstGeom>
          <a:noFill/>
          <a:ln w="190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72" name="Line 4631">
            <a:extLst>
              <a:ext uri="{FF2B5EF4-FFF2-40B4-BE49-F238E27FC236}">
                <a16:creationId xmlns:a16="http://schemas.microsoft.com/office/drawing/2014/main" id="{00000000-0008-0000-0100-0000AC000000}"/>
              </a:ext>
            </a:extLst>
          </xdr:cNvPr>
          <xdr:cNvSpPr>
            <a:spLocks noChangeAspect="1" noChangeShapeType="1"/>
          </xdr:cNvSpPr>
        </xdr:nvSpPr>
        <xdr:spPr bwMode="auto">
          <a:xfrm rot="-5400000">
            <a:off x="974" y="753"/>
            <a:ext cx="11" cy="3"/>
          </a:xfrm>
          <a:prstGeom prst="line">
            <a:avLst/>
          </a:prstGeom>
          <a:noFill/>
          <a:ln w="190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73" name="Line 4632">
            <a:extLst>
              <a:ext uri="{FF2B5EF4-FFF2-40B4-BE49-F238E27FC236}">
                <a16:creationId xmlns:a16="http://schemas.microsoft.com/office/drawing/2014/main" id="{00000000-0008-0000-0100-0000AD000000}"/>
              </a:ext>
            </a:extLst>
          </xdr:cNvPr>
          <xdr:cNvSpPr>
            <a:spLocks noChangeAspect="1" noChangeShapeType="1"/>
          </xdr:cNvSpPr>
        </xdr:nvSpPr>
        <xdr:spPr bwMode="auto">
          <a:xfrm rot="-5400000">
            <a:off x="1020" y="753"/>
            <a:ext cx="0" cy="14"/>
          </a:xfrm>
          <a:prstGeom prst="line">
            <a:avLst/>
          </a:prstGeom>
          <a:noFill/>
          <a:ln w="190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74" name="Line 4633">
            <a:extLst>
              <a:ext uri="{FF2B5EF4-FFF2-40B4-BE49-F238E27FC236}">
                <a16:creationId xmlns:a16="http://schemas.microsoft.com/office/drawing/2014/main" id="{00000000-0008-0000-0100-0000AE000000}"/>
              </a:ext>
            </a:extLst>
          </xdr:cNvPr>
          <xdr:cNvSpPr>
            <a:spLocks noChangeAspect="1" noChangeShapeType="1"/>
          </xdr:cNvSpPr>
        </xdr:nvSpPr>
        <xdr:spPr bwMode="auto">
          <a:xfrm rot="-5400000">
            <a:off x="972" y="753"/>
            <a:ext cx="0" cy="14"/>
          </a:xfrm>
          <a:prstGeom prst="line">
            <a:avLst/>
          </a:prstGeom>
          <a:noFill/>
          <a:ln w="190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10</xdr:col>
      <xdr:colOff>0</xdr:colOff>
      <xdr:row>7</xdr:row>
      <xdr:rowOff>180975</xdr:rowOff>
    </xdr:from>
    <xdr:to>
      <xdr:col>11</xdr:col>
      <xdr:colOff>57150</xdr:colOff>
      <xdr:row>7</xdr:row>
      <xdr:rowOff>180975</xdr:rowOff>
    </xdr:to>
    <xdr:sp macro="" textlink="">
      <xdr:nvSpPr>
        <xdr:cNvPr id="175" name="Line 2250">
          <a:extLst>
            <a:ext uri="{FF2B5EF4-FFF2-40B4-BE49-F238E27FC236}">
              <a16:creationId xmlns:a16="http://schemas.microsoft.com/office/drawing/2014/main" id="{00000000-0008-0000-0100-0000AF000000}"/>
            </a:ext>
          </a:extLst>
        </xdr:cNvPr>
        <xdr:cNvSpPr>
          <a:spLocks noChangeShapeType="1"/>
        </xdr:cNvSpPr>
      </xdr:nvSpPr>
      <xdr:spPr bwMode="auto">
        <a:xfrm>
          <a:off x="1895475" y="1514475"/>
          <a:ext cx="24765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76200</xdr:colOff>
      <xdr:row>6</xdr:row>
      <xdr:rowOff>104775</xdr:rowOff>
    </xdr:from>
    <xdr:to>
      <xdr:col>20</xdr:col>
      <xdr:colOff>57150</xdr:colOff>
      <xdr:row>9</xdr:row>
      <xdr:rowOff>38100</xdr:rowOff>
    </xdr:to>
    <xdr:grpSp>
      <xdr:nvGrpSpPr>
        <xdr:cNvPr id="176" name="Group 3576">
          <a:extLst>
            <a:ext uri="{FF2B5EF4-FFF2-40B4-BE49-F238E27FC236}">
              <a16:creationId xmlns:a16="http://schemas.microsoft.com/office/drawing/2014/main" id="{00000000-0008-0000-0100-0000B0000000}"/>
            </a:ext>
          </a:extLst>
        </xdr:cNvPr>
        <xdr:cNvGrpSpPr>
          <a:grpSpLocks/>
        </xdr:cNvGrpSpPr>
      </xdr:nvGrpSpPr>
      <xdr:grpSpPr bwMode="auto">
        <a:xfrm>
          <a:off x="3314700" y="1247775"/>
          <a:ext cx="552450" cy="504825"/>
          <a:chOff x="1061" y="1939"/>
          <a:chExt cx="80" cy="39"/>
        </a:xfrm>
      </xdr:grpSpPr>
      <xdr:sp macro="" textlink="">
        <xdr:nvSpPr>
          <xdr:cNvPr id="177" name="Arc 3573">
            <a:extLst>
              <a:ext uri="{FF2B5EF4-FFF2-40B4-BE49-F238E27FC236}">
                <a16:creationId xmlns:a16="http://schemas.microsoft.com/office/drawing/2014/main" id="{00000000-0008-0000-0100-0000B1000000}"/>
              </a:ext>
            </a:extLst>
          </xdr:cNvPr>
          <xdr:cNvSpPr>
            <a:spLocks noChangeAspect="1"/>
          </xdr:cNvSpPr>
        </xdr:nvSpPr>
        <xdr:spPr bwMode="auto">
          <a:xfrm flipH="1">
            <a:off x="1106" y="1939"/>
            <a:ext cx="35" cy="39"/>
          </a:xfrm>
          <a:custGeom>
            <a:avLst/>
            <a:gdLst>
              <a:gd name="T0" fmla="*/ 0 w 43200"/>
              <a:gd name="T1" fmla="*/ 0 h 38263"/>
              <a:gd name="T2" fmla="*/ 0 w 43200"/>
              <a:gd name="T3" fmla="*/ 0 h 38263"/>
              <a:gd name="T4" fmla="*/ 0 w 43200"/>
              <a:gd name="T5" fmla="*/ 0 h 38263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43200" h="38263" fill="none" extrusionOk="0">
                <a:moveTo>
                  <a:pt x="26" y="22673"/>
                </a:moveTo>
                <a:cubicBezTo>
                  <a:pt x="8" y="22315"/>
                  <a:pt x="0" y="21957"/>
                  <a:pt x="0" y="21600"/>
                </a:cubicBezTo>
                <a:cubicBezTo>
                  <a:pt x="0" y="9670"/>
                  <a:pt x="9670" y="0"/>
                  <a:pt x="21600" y="0"/>
                </a:cubicBezTo>
                <a:cubicBezTo>
                  <a:pt x="33529" y="0"/>
                  <a:pt x="43200" y="9670"/>
                  <a:pt x="43200" y="21600"/>
                </a:cubicBezTo>
                <a:cubicBezTo>
                  <a:pt x="43200" y="28048"/>
                  <a:pt x="40318" y="34159"/>
                  <a:pt x="35344" y="38263"/>
                </a:cubicBezTo>
              </a:path>
              <a:path w="43200" h="38263" stroke="0" extrusionOk="0">
                <a:moveTo>
                  <a:pt x="26" y="22673"/>
                </a:moveTo>
                <a:cubicBezTo>
                  <a:pt x="8" y="22315"/>
                  <a:pt x="0" y="21957"/>
                  <a:pt x="0" y="21600"/>
                </a:cubicBezTo>
                <a:cubicBezTo>
                  <a:pt x="0" y="9670"/>
                  <a:pt x="9670" y="0"/>
                  <a:pt x="21600" y="0"/>
                </a:cubicBezTo>
                <a:cubicBezTo>
                  <a:pt x="33529" y="0"/>
                  <a:pt x="43200" y="9670"/>
                  <a:pt x="43200" y="21600"/>
                </a:cubicBezTo>
                <a:cubicBezTo>
                  <a:pt x="43200" y="28048"/>
                  <a:pt x="40318" y="34159"/>
                  <a:pt x="35344" y="38263"/>
                </a:cubicBezTo>
                <a:lnTo>
                  <a:pt x="21600" y="21600"/>
                </a:lnTo>
                <a:lnTo>
                  <a:pt x="26" y="22673"/>
                </a:lnTo>
                <a:close/>
              </a:path>
            </a:pathLst>
          </a:custGeom>
          <a:noFill/>
          <a:ln w="190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CCCCFF" mc:Ignorable="a14" a14:legacySpreadsheetColorIndex="31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78" name="Arc 3574">
            <a:extLst>
              <a:ext uri="{FF2B5EF4-FFF2-40B4-BE49-F238E27FC236}">
                <a16:creationId xmlns:a16="http://schemas.microsoft.com/office/drawing/2014/main" id="{00000000-0008-0000-0100-0000B2000000}"/>
              </a:ext>
            </a:extLst>
          </xdr:cNvPr>
          <xdr:cNvSpPr>
            <a:spLocks noChangeAspect="1"/>
          </xdr:cNvSpPr>
        </xdr:nvSpPr>
        <xdr:spPr bwMode="auto">
          <a:xfrm>
            <a:off x="1085" y="1939"/>
            <a:ext cx="34" cy="39"/>
          </a:xfrm>
          <a:custGeom>
            <a:avLst/>
            <a:gdLst>
              <a:gd name="T0" fmla="*/ 0 w 43200"/>
              <a:gd name="T1" fmla="*/ 0 h 38440"/>
              <a:gd name="T2" fmla="*/ 0 w 43200"/>
              <a:gd name="T3" fmla="*/ 0 h 38440"/>
              <a:gd name="T4" fmla="*/ 0 w 43200"/>
              <a:gd name="T5" fmla="*/ 0 h 3844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43200" h="38440" fill="none" extrusionOk="0">
                <a:moveTo>
                  <a:pt x="8070" y="38438"/>
                </a:moveTo>
                <a:cubicBezTo>
                  <a:pt x="2968" y="34338"/>
                  <a:pt x="0" y="28145"/>
                  <a:pt x="0" y="21600"/>
                </a:cubicBezTo>
                <a:cubicBezTo>
                  <a:pt x="0" y="9670"/>
                  <a:pt x="9670" y="0"/>
                  <a:pt x="21600" y="0"/>
                </a:cubicBezTo>
                <a:cubicBezTo>
                  <a:pt x="33529" y="0"/>
                  <a:pt x="43200" y="9670"/>
                  <a:pt x="43200" y="21600"/>
                </a:cubicBezTo>
                <a:cubicBezTo>
                  <a:pt x="43200" y="28146"/>
                  <a:pt x="40230" y="34340"/>
                  <a:pt x="35126" y="38439"/>
                </a:cubicBezTo>
              </a:path>
              <a:path w="43200" h="38440" stroke="0" extrusionOk="0">
                <a:moveTo>
                  <a:pt x="8070" y="38438"/>
                </a:moveTo>
                <a:cubicBezTo>
                  <a:pt x="2968" y="34338"/>
                  <a:pt x="0" y="28145"/>
                  <a:pt x="0" y="21600"/>
                </a:cubicBezTo>
                <a:cubicBezTo>
                  <a:pt x="0" y="9670"/>
                  <a:pt x="9670" y="0"/>
                  <a:pt x="21600" y="0"/>
                </a:cubicBezTo>
                <a:cubicBezTo>
                  <a:pt x="33529" y="0"/>
                  <a:pt x="43200" y="9670"/>
                  <a:pt x="43200" y="21600"/>
                </a:cubicBezTo>
                <a:cubicBezTo>
                  <a:pt x="43200" y="28146"/>
                  <a:pt x="40230" y="34340"/>
                  <a:pt x="35126" y="38439"/>
                </a:cubicBezTo>
                <a:lnTo>
                  <a:pt x="21600" y="21600"/>
                </a:lnTo>
                <a:lnTo>
                  <a:pt x="8070" y="38438"/>
                </a:lnTo>
                <a:close/>
              </a:path>
            </a:pathLst>
          </a:custGeom>
          <a:noFill/>
          <a:ln w="190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CCCCFF" mc:Ignorable="a14" a14:legacySpreadsheetColorIndex="31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79" name="Arc 3575">
            <a:extLst>
              <a:ext uri="{FF2B5EF4-FFF2-40B4-BE49-F238E27FC236}">
                <a16:creationId xmlns:a16="http://schemas.microsoft.com/office/drawing/2014/main" id="{00000000-0008-0000-0100-0000B3000000}"/>
              </a:ext>
            </a:extLst>
          </xdr:cNvPr>
          <xdr:cNvSpPr>
            <a:spLocks noChangeAspect="1"/>
          </xdr:cNvSpPr>
        </xdr:nvSpPr>
        <xdr:spPr bwMode="auto">
          <a:xfrm>
            <a:off x="1061" y="1939"/>
            <a:ext cx="35" cy="39"/>
          </a:xfrm>
          <a:custGeom>
            <a:avLst/>
            <a:gdLst>
              <a:gd name="T0" fmla="*/ 0 w 43200"/>
              <a:gd name="T1" fmla="*/ 0 h 38263"/>
              <a:gd name="T2" fmla="*/ 0 w 43200"/>
              <a:gd name="T3" fmla="*/ 0 h 38263"/>
              <a:gd name="T4" fmla="*/ 0 w 43200"/>
              <a:gd name="T5" fmla="*/ 0 h 38263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43200" h="38263" fill="none" extrusionOk="0">
                <a:moveTo>
                  <a:pt x="26" y="22673"/>
                </a:moveTo>
                <a:cubicBezTo>
                  <a:pt x="8" y="22315"/>
                  <a:pt x="0" y="21957"/>
                  <a:pt x="0" y="21600"/>
                </a:cubicBezTo>
                <a:cubicBezTo>
                  <a:pt x="0" y="9670"/>
                  <a:pt x="9670" y="0"/>
                  <a:pt x="21600" y="0"/>
                </a:cubicBezTo>
                <a:cubicBezTo>
                  <a:pt x="33529" y="0"/>
                  <a:pt x="43200" y="9670"/>
                  <a:pt x="43200" y="21600"/>
                </a:cubicBezTo>
                <a:cubicBezTo>
                  <a:pt x="43200" y="28048"/>
                  <a:pt x="40318" y="34159"/>
                  <a:pt x="35344" y="38263"/>
                </a:cubicBezTo>
              </a:path>
              <a:path w="43200" h="38263" stroke="0" extrusionOk="0">
                <a:moveTo>
                  <a:pt x="26" y="22673"/>
                </a:moveTo>
                <a:cubicBezTo>
                  <a:pt x="8" y="22315"/>
                  <a:pt x="0" y="21957"/>
                  <a:pt x="0" y="21600"/>
                </a:cubicBezTo>
                <a:cubicBezTo>
                  <a:pt x="0" y="9670"/>
                  <a:pt x="9670" y="0"/>
                  <a:pt x="21600" y="0"/>
                </a:cubicBezTo>
                <a:cubicBezTo>
                  <a:pt x="33529" y="0"/>
                  <a:pt x="43200" y="9670"/>
                  <a:pt x="43200" y="21600"/>
                </a:cubicBezTo>
                <a:cubicBezTo>
                  <a:pt x="43200" y="28048"/>
                  <a:pt x="40318" y="34159"/>
                  <a:pt x="35344" y="38263"/>
                </a:cubicBezTo>
                <a:lnTo>
                  <a:pt x="21600" y="21600"/>
                </a:lnTo>
                <a:lnTo>
                  <a:pt x="26" y="22673"/>
                </a:lnTo>
                <a:close/>
              </a:path>
            </a:pathLst>
          </a:custGeom>
          <a:noFill/>
          <a:ln w="190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CCCCFF" mc:Ignorable="a14" a14:legacySpreadsheetColorIndex="31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/>
  </xdr:twoCellAnchor>
  <xdr:twoCellAnchor>
    <xdr:from>
      <xdr:col>21</xdr:col>
      <xdr:colOff>9525</xdr:colOff>
      <xdr:row>7</xdr:row>
      <xdr:rowOff>85725</xdr:rowOff>
    </xdr:from>
    <xdr:to>
      <xdr:col>24</xdr:col>
      <xdr:colOff>28575</xdr:colOff>
      <xdr:row>8</xdr:row>
      <xdr:rowOff>104775</xdr:rowOff>
    </xdr:to>
    <xdr:grpSp>
      <xdr:nvGrpSpPr>
        <xdr:cNvPr id="180" name="Group 4624">
          <a:extLst>
            <a:ext uri="{FF2B5EF4-FFF2-40B4-BE49-F238E27FC236}">
              <a16:creationId xmlns:a16="http://schemas.microsoft.com/office/drawing/2014/main" id="{00000000-0008-0000-0100-0000B4000000}"/>
            </a:ext>
          </a:extLst>
        </xdr:cNvPr>
        <xdr:cNvGrpSpPr>
          <a:grpSpLocks/>
        </xdr:cNvGrpSpPr>
      </xdr:nvGrpSpPr>
      <xdr:grpSpPr bwMode="auto">
        <a:xfrm>
          <a:off x="4010025" y="1419225"/>
          <a:ext cx="590550" cy="209550"/>
          <a:chOff x="965" y="749"/>
          <a:chExt cx="62" cy="22"/>
        </a:xfrm>
      </xdr:grpSpPr>
      <xdr:sp macro="" textlink="">
        <xdr:nvSpPr>
          <xdr:cNvPr id="181" name="Line 4625">
            <a:extLst>
              <a:ext uri="{FF2B5EF4-FFF2-40B4-BE49-F238E27FC236}">
                <a16:creationId xmlns:a16="http://schemas.microsoft.com/office/drawing/2014/main" id="{00000000-0008-0000-0100-0000B5000000}"/>
              </a:ext>
            </a:extLst>
          </xdr:cNvPr>
          <xdr:cNvSpPr>
            <a:spLocks noChangeAspect="1" noChangeShapeType="1"/>
          </xdr:cNvSpPr>
        </xdr:nvSpPr>
        <xdr:spPr bwMode="auto">
          <a:xfrm rot="-5400000">
            <a:off x="1006" y="764"/>
            <a:ext cx="11" cy="3"/>
          </a:xfrm>
          <a:prstGeom prst="line">
            <a:avLst/>
          </a:prstGeom>
          <a:noFill/>
          <a:ln w="190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82" name="Line 4626">
            <a:extLst>
              <a:ext uri="{FF2B5EF4-FFF2-40B4-BE49-F238E27FC236}">
                <a16:creationId xmlns:a16="http://schemas.microsoft.com/office/drawing/2014/main" id="{00000000-0008-0000-0100-0000B6000000}"/>
              </a:ext>
            </a:extLst>
          </xdr:cNvPr>
          <xdr:cNvSpPr>
            <a:spLocks noChangeAspect="1" noChangeShapeType="1"/>
          </xdr:cNvSpPr>
        </xdr:nvSpPr>
        <xdr:spPr bwMode="auto">
          <a:xfrm rot="16200000" flipV="1">
            <a:off x="996" y="757"/>
            <a:ext cx="22" cy="6"/>
          </a:xfrm>
          <a:prstGeom prst="line">
            <a:avLst/>
          </a:prstGeom>
          <a:noFill/>
          <a:ln w="190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83" name="Line 4627">
            <a:extLst>
              <a:ext uri="{FF2B5EF4-FFF2-40B4-BE49-F238E27FC236}">
                <a16:creationId xmlns:a16="http://schemas.microsoft.com/office/drawing/2014/main" id="{00000000-0008-0000-0100-0000B7000000}"/>
              </a:ext>
            </a:extLst>
          </xdr:cNvPr>
          <xdr:cNvSpPr>
            <a:spLocks noChangeAspect="1" noChangeShapeType="1"/>
          </xdr:cNvSpPr>
        </xdr:nvSpPr>
        <xdr:spPr bwMode="auto">
          <a:xfrm rot="-5400000">
            <a:off x="990" y="757"/>
            <a:ext cx="22" cy="5"/>
          </a:xfrm>
          <a:prstGeom prst="line">
            <a:avLst/>
          </a:prstGeom>
          <a:noFill/>
          <a:ln w="190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84" name="Line 4628">
            <a:extLst>
              <a:ext uri="{FF2B5EF4-FFF2-40B4-BE49-F238E27FC236}">
                <a16:creationId xmlns:a16="http://schemas.microsoft.com/office/drawing/2014/main" id="{00000000-0008-0000-0100-0000B8000000}"/>
              </a:ext>
            </a:extLst>
          </xdr:cNvPr>
          <xdr:cNvSpPr>
            <a:spLocks noChangeAspect="1" noChangeShapeType="1"/>
          </xdr:cNvSpPr>
        </xdr:nvSpPr>
        <xdr:spPr bwMode="auto">
          <a:xfrm rot="16200000" flipV="1">
            <a:off x="985" y="757"/>
            <a:ext cx="22" cy="6"/>
          </a:xfrm>
          <a:prstGeom prst="line">
            <a:avLst/>
          </a:prstGeom>
          <a:noFill/>
          <a:ln w="190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85" name="Line 4629">
            <a:extLst>
              <a:ext uri="{FF2B5EF4-FFF2-40B4-BE49-F238E27FC236}">
                <a16:creationId xmlns:a16="http://schemas.microsoft.com/office/drawing/2014/main" id="{00000000-0008-0000-0100-0000B9000000}"/>
              </a:ext>
            </a:extLst>
          </xdr:cNvPr>
          <xdr:cNvSpPr>
            <a:spLocks noChangeAspect="1" noChangeShapeType="1"/>
          </xdr:cNvSpPr>
        </xdr:nvSpPr>
        <xdr:spPr bwMode="auto">
          <a:xfrm rot="-5400000">
            <a:off x="979" y="757"/>
            <a:ext cx="22" cy="5"/>
          </a:xfrm>
          <a:prstGeom prst="line">
            <a:avLst/>
          </a:prstGeom>
          <a:noFill/>
          <a:ln w="190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86" name="Line 4630">
            <a:extLst>
              <a:ext uri="{FF2B5EF4-FFF2-40B4-BE49-F238E27FC236}">
                <a16:creationId xmlns:a16="http://schemas.microsoft.com/office/drawing/2014/main" id="{00000000-0008-0000-0100-0000BA000000}"/>
              </a:ext>
            </a:extLst>
          </xdr:cNvPr>
          <xdr:cNvSpPr>
            <a:spLocks noChangeAspect="1" noChangeShapeType="1"/>
          </xdr:cNvSpPr>
        </xdr:nvSpPr>
        <xdr:spPr bwMode="auto">
          <a:xfrm rot="16200000" flipV="1">
            <a:off x="973" y="757"/>
            <a:ext cx="22" cy="6"/>
          </a:xfrm>
          <a:prstGeom prst="line">
            <a:avLst/>
          </a:prstGeom>
          <a:noFill/>
          <a:ln w="190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87" name="Line 4631">
            <a:extLst>
              <a:ext uri="{FF2B5EF4-FFF2-40B4-BE49-F238E27FC236}">
                <a16:creationId xmlns:a16="http://schemas.microsoft.com/office/drawing/2014/main" id="{00000000-0008-0000-0100-0000BB000000}"/>
              </a:ext>
            </a:extLst>
          </xdr:cNvPr>
          <xdr:cNvSpPr>
            <a:spLocks noChangeAspect="1" noChangeShapeType="1"/>
          </xdr:cNvSpPr>
        </xdr:nvSpPr>
        <xdr:spPr bwMode="auto">
          <a:xfrm rot="-5400000">
            <a:off x="974" y="753"/>
            <a:ext cx="11" cy="3"/>
          </a:xfrm>
          <a:prstGeom prst="line">
            <a:avLst/>
          </a:prstGeom>
          <a:noFill/>
          <a:ln w="190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88" name="Line 4632">
            <a:extLst>
              <a:ext uri="{FF2B5EF4-FFF2-40B4-BE49-F238E27FC236}">
                <a16:creationId xmlns:a16="http://schemas.microsoft.com/office/drawing/2014/main" id="{00000000-0008-0000-0100-0000BC000000}"/>
              </a:ext>
            </a:extLst>
          </xdr:cNvPr>
          <xdr:cNvSpPr>
            <a:spLocks noChangeAspect="1" noChangeShapeType="1"/>
          </xdr:cNvSpPr>
        </xdr:nvSpPr>
        <xdr:spPr bwMode="auto">
          <a:xfrm rot="-5400000">
            <a:off x="1020" y="753"/>
            <a:ext cx="0" cy="14"/>
          </a:xfrm>
          <a:prstGeom prst="line">
            <a:avLst/>
          </a:prstGeom>
          <a:noFill/>
          <a:ln w="190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89" name="Line 4633">
            <a:extLst>
              <a:ext uri="{FF2B5EF4-FFF2-40B4-BE49-F238E27FC236}">
                <a16:creationId xmlns:a16="http://schemas.microsoft.com/office/drawing/2014/main" id="{00000000-0008-0000-0100-0000BD000000}"/>
              </a:ext>
            </a:extLst>
          </xdr:cNvPr>
          <xdr:cNvSpPr>
            <a:spLocks noChangeAspect="1" noChangeShapeType="1"/>
          </xdr:cNvSpPr>
        </xdr:nvSpPr>
        <xdr:spPr bwMode="auto">
          <a:xfrm rot="-5400000">
            <a:off x="972" y="753"/>
            <a:ext cx="0" cy="14"/>
          </a:xfrm>
          <a:prstGeom prst="line">
            <a:avLst/>
          </a:prstGeom>
          <a:noFill/>
          <a:ln w="190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20</xdr:col>
      <xdr:colOff>85725</xdr:colOff>
      <xdr:row>8</xdr:row>
      <xdr:rowOff>0</xdr:rowOff>
    </xdr:from>
    <xdr:to>
      <xdr:col>21</xdr:col>
      <xdr:colOff>152400</xdr:colOff>
      <xdr:row>8</xdr:row>
      <xdr:rowOff>0</xdr:rowOff>
    </xdr:to>
    <xdr:sp macro="" textlink="">
      <xdr:nvSpPr>
        <xdr:cNvPr id="190" name="Line 2250">
          <a:extLst>
            <a:ext uri="{FF2B5EF4-FFF2-40B4-BE49-F238E27FC236}">
              <a16:creationId xmlns:a16="http://schemas.microsoft.com/office/drawing/2014/main" id="{00000000-0008-0000-0100-0000BE000000}"/>
            </a:ext>
          </a:extLst>
        </xdr:cNvPr>
        <xdr:cNvSpPr>
          <a:spLocks noChangeShapeType="1"/>
        </xdr:cNvSpPr>
      </xdr:nvSpPr>
      <xdr:spPr bwMode="auto">
        <a:xfrm>
          <a:off x="3886200" y="1524000"/>
          <a:ext cx="257175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44</xdr:col>
      <xdr:colOff>79376</xdr:colOff>
      <xdr:row>5</xdr:row>
      <xdr:rowOff>3970</xdr:rowOff>
    </xdr:from>
    <xdr:to>
      <xdr:col>55</xdr:col>
      <xdr:colOff>15876</xdr:colOff>
      <xdr:row>24</xdr:row>
      <xdr:rowOff>146845</xdr:rowOff>
    </xdr:to>
    <xdr:sp macro="" textlink="">
      <xdr:nvSpPr>
        <xdr:cNvPr id="191" name="正方形/長方形 190">
          <a:extLst>
            <a:ext uri="{FF2B5EF4-FFF2-40B4-BE49-F238E27FC236}">
              <a16:creationId xmlns:a16="http://schemas.microsoft.com/office/drawing/2014/main" id="{00000000-0008-0000-0100-0000BF000000}"/>
            </a:ext>
          </a:extLst>
        </xdr:cNvPr>
        <xdr:cNvSpPr/>
      </xdr:nvSpPr>
      <xdr:spPr bwMode="auto">
        <a:xfrm>
          <a:off x="8442326" y="956470"/>
          <a:ext cx="2032000" cy="3762375"/>
        </a:xfrm>
        <a:prstGeom prst="rect">
          <a:avLst/>
        </a:prstGeom>
        <a:noFill/>
        <a:ln w="19050" cap="flat" cmpd="sng" algn="ctr">
          <a:solidFill>
            <a:srgbClr val="FF0000"/>
          </a:solidFill>
          <a:prstDash val="dashDot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endParaRPr kumimoji="1" lang="ja-JP" altLang="en-US" sz="1400"/>
        </a:p>
      </xdr:txBody>
    </xdr:sp>
    <xdr:clientData/>
  </xdr:twoCellAnchor>
  <xdr:twoCellAnchor>
    <xdr:from>
      <xdr:col>58</xdr:col>
      <xdr:colOff>158750</xdr:colOff>
      <xdr:row>5</xdr:row>
      <xdr:rowOff>1589</xdr:rowOff>
    </xdr:from>
    <xdr:to>
      <xdr:col>67</xdr:col>
      <xdr:colOff>73026</xdr:colOff>
      <xdr:row>24</xdr:row>
      <xdr:rowOff>144464</xdr:rowOff>
    </xdr:to>
    <xdr:sp macro="" textlink="">
      <xdr:nvSpPr>
        <xdr:cNvPr id="192" name="正方形/長方形 191">
          <a:extLst>
            <a:ext uri="{FF2B5EF4-FFF2-40B4-BE49-F238E27FC236}">
              <a16:creationId xmlns:a16="http://schemas.microsoft.com/office/drawing/2014/main" id="{00000000-0008-0000-0100-0000C0000000}"/>
            </a:ext>
          </a:extLst>
        </xdr:cNvPr>
        <xdr:cNvSpPr/>
      </xdr:nvSpPr>
      <xdr:spPr bwMode="auto">
        <a:xfrm>
          <a:off x="11188700" y="954089"/>
          <a:ext cx="1628776" cy="3762375"/>
        </a:xfrm>
        <a:prstGeom prst="rect">
          <a:avLst/>
        </a:prstGeom>
        <a:noFill/>
        <a:ln w="19050" cap="flat" cmpd="sng" algn="ctr">
          <a:solidFill>
            <a:srgbClr val="FF0000"/>
          </a:solidFill>
          <a:prstDash val="dashDot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endParaRPr kumimoji="1" lang="ja-JP" altLang="en-US" sz="1400"/>
        </a:p>
      </xdr:txBody>
    </xdr:sp>
    <xdr:clientData/>
  </xdr:twoCellAnchor>
  <xdr:twoCellAnchor>
    <xdr:from>
      <xdr:col>64</xdr:col>
      <xdr:colOff>9525</xdr:colOff>
      <xdr:row>2</xdr:row>
      <xdr:rowOff>19050</xdr:rowOff>
    </xdr:from>
    <xdr:to>
      <xdr:col>78</xdr:col>
      <xdr:colOff>0</xdr:colOff>
      <xdr:row>25</xdr:row>
      <xdr:rowOff>95250</xdr:rowOff>
    </xdr:to>
    <xdr:sp macro="" textlink="">
      <xdr:nvSpPr>
        <xdr:cNvPr id="193" name="円/楕円 1">
          <a:extLst>
            <a:ext uri="{FF2B5EF4-FFF2-40B4-BE49-F238E27FC236}">
              <a16:creationId xmlns:a16="http://schemas.microsoft.com/office/drawing/2014/main" id="{00000000-0008-0000-0100-0000C1000000}"/>
            </a:ext>
          </a:extLst>
        </xdr:cNvPr>
        <xdr:cNvSpPr>
          <a:spLocks noChangeArrowheads="1"/>
        </xdr:cNvSpPr>
      </xdr:nvSpPr>
      <xdr:spPr bwMode="auto">
        <a:xfrm>
          <a:off x="12182475" y="400050"/>
          <a:ext cx="2657475" cy="4457700"/>
        </a:xfrm>
        <a:prstGeom prst="ellipse">
          <a:avLst/>
        </a:prstGeom>
        <a:noFill/>
        <a:ln w="19050" algn="ctr">
          <a:solidFill>
            <a:srgbClr val="00B0F0"/>
          </a:solidFill>
          <a:prstDash val="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50</xdr:col>
      <xdr:colOff>152400</xdr:colOff>
      <xdr:row>2</xdr:row>
      <xdr:rowOff>19050</xdr:rowOff>
    </xdr:from>
    <xdr:to>
      <xdr:col>78</xdr:col>
      <xdr:colOff>152400</xdr:colOff>
      <xdr:row>26</xdr:row>
      <xdr:rowOff>85725</xdr:rowOff>
    </xdr:to>
    <xdr:sp macro="" textlink="">
      <xdr:nvSpPr>
        <xdr:cNvPr id="194" name="円/楕円 193">
          <a:extLst>
            <a:ext uri="{FF2B5EF4-FFF2-40B4-BE49-F238E27FC236}">
              <a16:creationId xmlns:a16="http://schemas.microsoft.com/office/drawing/2014/main" id="{00000000-0008-0000-0100-0000C2000000}"/>
            </a:ext>
          </a:extLst>
        </xdr:cNvPr>
        <xdr:cNvSpPr>
          <a:spLocks/>
        </xdr:cNvSpPr>
      </xdr:nvSpPr>
      <xdr:spPr bwMode="auto">
        <a:xfrm>
          <a:off x="9658350" y="400050"/>
          <a:ext cx="5334000" cy="4638675"/>
        </a:xfrm>
        <a:custGeom>
          <a:avLst/>
          <a:gdLst>
            <a:gd name="T0" fmla="*/ 432591 w 5335727"/>
            <a:gd name="T1" fmla="*/ 2707116 h 4635468"/>
            <a:gd name="T2" fmla="*/ 254056 w 5335727"/>
            <a:gd name="T3" fmla="*/ 386174 h 4635468"/>
            <a:gd name="T4" fmla="*/ 2829735 w 5335727"/>
            <a:gd name="T5" fmla="*/ 181244 h 4635468"/>
            <a:gd name="T6" fmla="*/ 5334000 w 5335727"/>
            <a:gd name="T7" fmla="*/ 2409254 h 4635468"/>
            <a:gd name="T8" fmla="*/ 3091588 w 5335727"/>
            <a:gd name="T9" fmla="*/ 4637263 h 4635468"/>
            <a:gd name="T10" fmla="*/ 432591 w 5335727"/>
            <a:gd name="T11" fmla="*/ 2707116 h 4635468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0" t="0" r="r" b="b"/>
          <a:pathLst>
            <a:path w="5335727" h="4635468">
              <a:moveTo>
                <a:pt x="432731" y="2705244"/>
              </a:moveTo>
              <a:cubicBezTo>
                <a:pt x="-40344" y="1997219"/>
                <a:pt x="-163375" y="756985"/>
                <a:pt x="254138" y="385907"/>
              </a:cubicBezTo>
              <a:cubicBezTo>
                <a:pt x="671651" y="14829"/>
                <a:pt x="1983720" y="-155828"/>
                <a:pt x="2830651" y="181119"/>
              </a:cubicBezTo>
              <a:cubicBezTo>
                <a:pt x="3677582" y="518066"/>
                <a:pt x="5335727" y="1177943"/>
                <a:pt x="5335727" y="2407588"/>
              </a:cubicBezTo>
              <a:cubicBezTo>
                <a:pt x="5335727" y="3637233"/>
                <a:pt x="3909755" y="4584448"/>
                <a:pt x="3092589" y="4634057"/>
              </a:cubicBezTo>
              <a:cubicBezTo>
                <a:pt x="2275423" y="4683666"/>
                <a:pt x="905806" y="3413269"/>
                <a:pt x="432731" y="2705244"/>
              </a:cubicBezTo>
              <a:close/>
            </a:path>
          </a:pathLst>
        </a:custGeom>
        <a:noFill/>
        <a:ln w="19050" cap="flat" cmpd="sng" algn="ctr">
          <a:solidFill>
            <a:srgbClr val="00B0F0"/>
          </a:solidFill>
          <a:prstDash val="dashDot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104</xdr:col>
      <xdr:colOff>21167</xdr:colOff>
      <xdr:row>21</xdr:row>
      <xdr:rowOff>10583</xdr:rowOff>
    </xdr:from>
    <xdr:to>
      <xdr:col>141</xdr:col>
      <xdr:colOff>42334</xdr:colOff>
      <xdr:row>28</xdr:row>
      <xdr:rowOff>31750</xdr:rowOff>
    </xdr:to>
    <xdr:cxnSp macro="">
      <xdr:nvCxnSpPr>
        <xdr:cNvPr id="195" name="直線矢印コネクタ 194">
          <a:extLst>
            <a:ext uri="{FF2B5EF4-FFF2-40B4-BE49-F238E27FC236}">
              <a16:creationId xmlns:a16="http://schemas.microsoft.com/office/drawing/2014/main" id="{00000000-0008-0000-0100-0000C3000000}"/>
            </a:ext>
          </a:extLst>
        </xdr:cNvPr>
        <xdr:cNvCxnSpPr/>
      </xdr:nvCxnSpPr>
      <xdr:spPr bwMode="auto">
        <a:xfrm>
          <a:off x="19814117" y="4011083"/>
          <a:ext cx="7155392" cy="1354667"/>
        </a:xfrm>
        <a:prstGeom prst="straightConnector1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1905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234</xdr:col>
      <xdr:colOff>195942</xdr:colOff>
      <xdr:row>25</xdr:row>
      <xdr:rowOff>46945</xdr:rowOff>
    </xdr:from>
    <xdr:to>
      <xdr:col>247</xdr:col>
      <xdr:colOff>663840</xdr:colOff>
      <xdr:row>63</xdr:row>
      <xdr:rowOff>37722</xdr:rowOff>
    </xdr:to>
    <xdr:graphicFrame macro="">
      <xdr:nvGraphicFramePr>
        <xdr:cNvPr id="196" name="グラフ 195">
          <a:extLst>
            <a:ext uri="{FF2B5EF4-FFF2-40B4-BE49-F238E27FC236}">
              <a16:creationId xmlns:a16="http://schemas.microsoft.com/office/drawing/2014/main" id="{00000000-0008-0000-0100-0000C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1905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1905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IJ1158"/>
  <sheetViews>
    <sheetView topLeftCell="IE32" zoomScale="90" zoomScaleNormal="90" workbookViewId="0">
      <selection activeCell="HV26" sqref="HV26"/>
    </sheetView>
  </sheetViews>
  <sheetFormatPr defaultColWidth="2.5" defaultRowHeight="15" customHeight="1"/>
  <cols>
    <col min="1" max="8" width="2.5" style="30"/>
    <col min="9" max="9" width="2.375" style="30" customWidth="1"/>
    <col min="10" max="14" width="2.5" style="30"/>
    <col min="15" max="15" width="2.5" style="30" customWidth="1"/>
    <col min="16" max="35" width="2.5" style="30"/>
    <col min="36" max="36" width="2.375" style="30" customWidth="1"/>
    <col min="37" max="37" width="2.5" style="30"/>
    <col min="38" max="112" width="2.5" style="30" customWidth="1"/>
    <col min="113" max="116" width="2.75" style="30" customWidth="1"/>
    <col min="117" max="140" width="2.5" style="30"/>
    <col min="141" max="141" width="2.625" style="30" customWidth="1"/>
    <col min="142" max="147" width="2.5" style="30"/>
    <col min="148" max="148" width="2.625" style="30" customWidth="1"/>
    <col min="149" max="149" width="3.875" style="30" bestFit="1" customWidth="1"/>
    <col min="150" max="170" width="2.5" style="30"/>
    <col min="171" max="171" width="9.25" style="30" customWidth="1"/>
    <col min="172" max="173" width="8.625" style="30" customWidth="1"/>
    <col min="174" max="174" width="9.25" style="30" customWidth="1"/>
    <col min="175" max="175" width="3.875" style="30" customWidth="1"/>
    <col min="176" max="177" width="8.125" style="30" customWidth="1"/>
    <col min="178" max="179" width="6.375" style="30" customWidth="1"/>
    <col min="180" max="180" width="6.75" style="30" customWidth="1"/>
    <col min="181" max="182" width="6.625" style="30" customWidth="1"/>
    <col min="183" max="183" width="7.375" style="30" customWidth="1"/>
    <col min="184" max="186" width="6.625" style="30" customWidth="1"/>
    <col min="187" max="187" width="7.625" style="30" customWidth="1"/>
    <col min="188" max="188" width="8.375" style="30" customWidth="1"/>
    <col min="189" max="189" width="8" style="30" customWidth="1"/>
    <col min="190" max="191" width="6.625" style="30" customWidth="1"/>
    <col min="192" max="192" width="9.125" style="30" customWidth="1"/>
    <col min="193" max="193" width="8.25" style="30" customWidth="1"/>
    <col min="194" max="194" width="12" style="30" customWidth="1"/>
    <col min="195" max="195" width="10" style="30" customWidth="1"/>
    <col min="196" max="199" width="8.25" style="30" customWidth="1"/>
    <col min="200" max="200" width="8" style="30" customWidth="1"/>
    <col min="201" max="203" width="8.25" style="30" customWidth="1"/>
    <col min="204" max="204" width="8.125" style="30" customWidth="1"/>
    <col min="205" max="206" width="6.625" style="30" customWidth="1"/>
    <col min="207" max="208" width="8.25" style="30" customWidth="1"/>
    <col min="209" max="209" width="6.625" style="30" customWidth="1"/>
    <col min="210" max="210" width="8.625" style="30" customWidth="1"/>
    <col min="211" max="222" width="10.875" style="30" customWidth="1"/>
    <col min="223" max="224" width="8.125" style="30" customWidth="1"/>
    <col min="225" max="226" width="9.25" style="30" customWidth="1"/>
    <col min="227" max="227" width="10.75" style="30" customWidth="1"/>
    <col min="228" max="228" width="14.75" style="30" customWidth="1"/>
    <col min="229" max="229" width="10.75" style="30" customWidth="1"/>
    <col min="230" max="231" width="15.875" style="30" customWidth="1"/>
    <col min="232" max="232" width="13.5" style="30" customWidth="1"/>
    <col min="233" max="233" width="10.5" style="30" customWidth="1"/>
    <col min="234" max="234" width="13.125" style="30" customWidth="1"/>
    <col min="235" max="244" width="10.5" style="30" customWidth="1"/>
    <col min="245" max="289" width="9.25" style="30" customWidth="1"/>
    <col min="290" max="16384" width="2.5" style="30"/>
  </cols>
  <sheetData>
    <row r="1" spans="1:244" ht="15" customHeight="1">
      <c r="AL1" s="79"/>
      <c r="AM1" s="79"/>
      <c r="AN1" s="79"/>
      <c r="AO1" s="79"/>
      <c r="AP1" s="79"/>
      <c r="AQ1" s="79"/>
      <c r="AR1" s="79"/>
      <c r="AS1" s="79"/>
      <c r="AT1" s="79"/>
      <c r="AU1" s="79"/>
      <c r="AV1" s="79"/>
      <c r="AW1" s="79"/>
      <c r="AX1" s="79"/>
      <c r="AY1" s="79"/>
      <c r="AZ1" s="79"/>
      <c r="BA1" s="79"/>
      <c r="BB1" s="79"/>
      <c r="BC1" s="79"/>
      <c r="BD1" s="79"/>
      <c r="BE1" s="79"/>
      <c r="BF1" s="79"/>
      <c r="BG1" s="79"/>
      <c r="BH1" s="79"/>
      <c r="BI1" s="79"/>
      <c r="BJ1" s="79"/>
      <c r="BK1" s="79"/>
      <c r="BL1" s="79"/>
      <c r="BM1" s="79"/>
      <c r="BN1" s="79"/>
      <c r="BO1" s="79"/>
      <c r="BP1" s="79"/>
      <c r="BQ1" s="79"/>
      <c r="BR1" s="79"/>
      <c r="BS1" s="79"/>
      <c r="BT1" s="79"/>
      <c r="BU1" s="79"/>
      <c r="BV1" s="79"/>
      <c r="BW1" s="79"/>
      <c r="BX1" s="79"/>
      <c r="BY1" s="79"/>
      <c r="BZ1" s="79"/>
      <c r="CA1" s="79"/>
      <c r="CB1" s="79"/>
      <c r="HR1" s="32"/>
      <c r="HS1" s="32"/>
      <c r="HT1" s="32"/>
      <c r="HU1" s="32"/>
      <c r="HV1" s="32"/>
      <c r="HW1" s="32"/>
      <c r="HX1" s="32"/>
      <c r="HY1" s="32"/>
      <c r="HZ1" s="32"/>
      <c r="IA1" s="32"/>
      <c r="IB1" s="32"/>
      <c r="IC1" s="32"/>
      <c r="ID1" s="32"/>
      <c r="IE1" s="32"/>
      <c r="IF1" s="32"/>
      <c r="IG1" s="32"/>
    </row>
    <row r="2" spans="1:244" ht="15" customHeight="1">
      <c r="AL2" s="79"/>
      <c r="AM2" s="79"/>
      <c r="AN2" s="79"/>
      <c r="AO2" s="79"/>
      <c r="AP2" s="79"/>
      <c r="AQ2" s="79"/>
      <c r="AR2" s="79"/>
      <c r="AS2" s="79"/>
      <c r="AT2" s="79"/>
      <c r="AU2" s="79"/>
      <c r="AV2" s="79"/>
      <c r="AW2" s="79"/>
      <c r="AX2" s="79"/>
      <c r="AY2" s="170" t="s">
        <v>61</v>
      </c>
      <c r="AZ2" s="170"/>
      <c r="BA2" s="79"/>
      <c r="BB2" s="79"/>
      <c r="BC2" s="79"/>
      <c r="BD2" s="79"/>
      <c r="BE2" s="79"/>
      <c r="BF2" s="79"/>
      <c r="BG2" s="79"/>
      <c r="BH2" s="79"/>
      <c r="BI2" s="79"/>
      <c r="BJ2" s="79"/>
      <c r="BK2" s="79"/>
      <c r="BL2" s="79"/>
      <c r="BM2" s="79"/>
      <c r="BN2" s="79"/>
      <c r="BO2" s="79"/>
      <c r="BP2" s="79"/>
      <c r="BQ2" s="79"/>
      <c r="BR2" s="79"/>
      <c r="BS2" s="79"/>
      <c r="BT2" s="79"/>
      <c r="BU2" s="79"/>
      <c r="BV2" s="79"/>
      <c r="BW2" s="79"/>
      <c r="BX2" s="79"/>
      <c r="BY2" s="79"/>
      <c r="BZ2" s="79"/>
      <c r="CA2" s="79"/>
      <c r="CB2" s="79"/>
      <c r="HR2" s="32"/>
      <c r="HS2" s="48"/>
      <c r="HT2" s="48"/>
      <c r="HU2" s="41"/>
      <c r="HV2" s="41"/>
      <c r="HW2" s="41"/>
      <c r="HX2" s="32"/>
      <c r="HY2" s="40"/>
      <c r="HZ2" s="40"/>
      <c r="IA2" s="41"/>
      <c r="IB2" s="41"/>
      <c r="IC2" s="41"/>
      <c r="ID2" s="41"/>
      <c r="IE2" s="41"/>
      <c r="IF2" s="41"/>
      <c r="IG2" s="32"/>
    </row>
    <row r="3" spans="1:244" ht="15" customHeight="1">
      <c r="AL3" s="79"/>
      <c r="AM3" s="79"/>
      <c r="AN3" s="79"/>
      <c r="AO3" s="79"/>
      <c r="AP3" s="79"/>
      <c r="AQ3" s="79"/>
      <c r="AR3" s="79"/>
      <c r="AS3" s="79"/>
      <c r="AT3" s="79"/>
      <c r="AU3" s="79"/>
      <c r="AV3" s="79"/>
      <c r="AW3" s="79"/>
      <c r="AZ3" s="79"/>
      <c r="BA3" s="79"/>
      <c r="BD3" s="79"/>
      <c r="BE3" s="79"/>
      <c r="BF3" s="79"/>
      <c r="BG3" s="79"/>
      <c r="BH3" s="79"/>
      <c r="BI3" s="79"/>
      <c r="BJ3" s="79"/>
      <c r="BK3" s="79"/>
      <c r="BL3" s="79"/>
      <c r="BM3" s="79"/>
      <c r="BN3" s="79"/>
      <c r="BO3" s="79"/>
      <c r="BP3" s="79"/>
      <c r="BQ3" s="79"/>
      <c r="BR3" s="79"/>
      <c r="BS3" s="79"/>
      <c r="BT3" s="79"/>
      <c r="BU3" s="79"/>
      <c r="BV3" s="79"/>
      <c r="BW3" s="79"/>
      <c r="BX3" s="79"/>
      <c r="BY3" s="79"/>
      <c r="BZ3" s="79"/>
      <c r="CA3" s="79"/>
      <c r="CB3" s="79"/>
      <c r="HR3" s="32"/>
      <c r="HS3" s="48"/>
      <c r="HT3" s="40"/>
      <c r="HU3" s="41"/>
      <c r="HV3" s="41"/>
      <c r="HW3" s="41"/>
      <c r="HX3" s="32"/>
      <c r="HY3" s="40"/>
      <c r="HZ3" s="40"/>
      <c r="IA3" s="41"/>
      <c r="IB3" s="41"/>
      <c r="IC3" s="41"/>
      <c r="ID3" s="41"/>
      <c r="IE3" s="41"/>
      <c r="IF3" s="41"/>
      <c r="IG3" s="32"/>
    </row>
    <row r="4" spans="1:244" ht="15" customHeight="1">
      <c r="A4" s="79"/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  <c r="AA4" s="79"/>
      <c r="AB4" s="79"/>
      <c r="AC4" s="79"/>
      <c r="AD4" s="79"/>
      <c r="AE4" s="79"/>
      <c r="AF4" s="79"/>
      <c r="AG4" s="79"/>
      <c r="AH4" s="79"/>
      <c r="AI4" s="79"/>
      <c r="AJ4" s="79"/>
      <c r="AK4" s="79"/>
      <c r="AL4" s="79"/>
      <c r="AM4" s="79"/>
      <c r="AN4" s="79"/>
      <c r="AO4" s="79"/>
      <c r="AP4" s="79"/>
      <c r="AQ4" s="79"/>
      <c r="AR4" s="79"/>
      <c r="AS4" s="79"/>
      <c r="AT4" s="79"/>
      <c r="AU4" s="79"/>
      <c r="AV4" s="79"/>
      <c r="AW4" s="79"/>
      <c r="AX4" s="79"/>
      <c r="AY4" s="79"/>
      <c r="AZ4" s="79"/>
      <c r="BA4" s="79"/>
      <c r="BB4" s="79"/>
      <c r="BC4" s="79"/>
      <c r="BD4" s="79"/>
      <c r="BE4" s="79"/>
      <c r="BF4" s="79"/>
      <c r="BG4" s="79"/>
      <c r="BH4" s="79"/>
      <c r="BI4" s="79"/>
      <c r="BJ4" s="79"/>
      <c r="BK4" s="79"/>
      <c r="BL4" s="79"/>
      <c r="BM4" s="79"/>
      <c r="BN4" s="79"/>
      <c r="BO4" s="79"/>
      <c r="BP4" s="79"/>
      <c r="BQ4" s="79"/>
      <c r="BR4" s="79"/>
      <c r="BS4" s="79"/>
      <c r="BT4" s="79"/>
      <c r="BU4" s="79"/>
      <c r="BV4" s="170" t="s">
        <v>56</v>
      </c>
      <c r="BW4" s="170"/>
      <c r="BX4" s="79"/>
      <c r="BY4" s="79"/>
      <c r="BZ4" s="79"/>
      <c r="CA4" s="79"/>
      <c r="CB4" s="79"/>
      <c r="CK4" s="104" t="s">
        <v>75</v>
      </c>
      <c r="CL4" s="104"/>
      <c r="CM4" s="104" t="s">
        <v>76</v>
      </c>
      <c r="CN4" s="104"/>
      <c r="CO4" s="105" t="s">
        <v>77</v>
      </c>
      <c r="CP4" s="105"/>
      <c r="CQ4" s="105"/>
      <c r="CR4" s="105"/>
      <c r="CS4" s="104" t="s">
        <v>33</v>
      </c>
      <c r="CT4" s="104" t="s">
        <v>76</v>
      </c>
      <c r="CU4" s="104"/>
      <c r="CV4" s="105" t="s">
        <v>117</v>
      </c>
      <c r="CW4" s="105"/>
      <c r="CX4" s="105"/>
      <c r="CY4" s="105"/>
      <c r="CZ4" s="105"/>
      <c r="DA4" s="105"/>
      <c r="DB4" s="105"/>
      <c r="DC4" s="105"/>
      <c r="DD4" s="104" t="s">
        <v>33</v>
      </c>
      <c r="DE4" s="104" t="s">
        <v>76</v>
      </c>
      <c r="DF4" s="104"/>
      <c r="DG4" s="106" t="s">
        <v>119</v>
      </c>
      <c r="DH4" s="106"/>
      <c r="DI4" s="106"/>
      <c r="DJ4" s="106"/>
      <c r="DK4" s="106"/>
      <c r="DL4" s="106"/>
      <c r="DM4" s="106"/>
      <c r="DN4" s="106"/>
      <c r="DO4" s="106"/>
      <c r="DP4" s="106"/>
      <c r="DQ4" s="106"/>
      <c r="DR4" s="106"/>
      <c r="DS4" s="104" t="s">
        <v>33</v>
      </c>
      <c r="DT4" s="104" t="s">
        <v>136</v>
      </c>
      <c r="DU4" s="104"/>
      <c r="DV4" s="24" t="s">
        <v>134</v>
      </c>
      <c r="DW4" s="21"/>
      <c r="DX4" s="21"/>
      <c r="DY4" s="21"/>
      <c r="DZ4" s="21"/>
      <c r="EA4" s="21"/>
      <c r="EB4" s="21"/>
      <c r="EC4" s="21"/>
      <c r="ED4" s="21"/>
      <c r="EE4" s="21"/>
      <c r="EF4" s="21"/>
      <c r="EG4" s="2"/>
      <c r="EH4" s="25" t="s">
        <v>135</v>
      </c>
      <c r="EI4" s="22"/>
      <c r="EJ4" s="22"/>
      <c r="EK4" s="22"/>
      <c r="EL4" s="22"/>
      <c r="EM4" s="22"/>
      <c r="EN4" s="22"/>
      <c r="EO4" s="22"/>
      <c r="EP4" s="22"/>
      <c r="EQ4" s="22"/>
      <c r="ER4" s="22"/>
      <c r="ET4" s="104" t="s">
        <v>137</v>
      </c>
      <c r="EZ4" s="30" t="s">
        <v>189</v>
      </c>
      <c r="FB4" s="30" t="s">
        <v>33</v>
      </c>
      <c r="FC4" s="104">
        <f>SQRT(DH6^2+DN6^2)</f>
        <v>0.99420328575889561</v>
      </c>
      <c r="FD4" s="104"/>
      <c r="FE4" s="104"/>
      <c r="FF4" s="104"/>
      <c r="FG4" s="104"/>
      <c r="FH4" s="104"/>
      <c r="FI4" s="3" t="s">
        <v>192</v>
      </c>
      <c r="FO4" s="30" t="s">
        <v>198</v>
      </c>
      <c r="HR4" s="32"/>
      <c r="HS4" s="48"/>
      <c r="HT4" s="40"/>
      <c r="HU4" s="41"/>
      <c r="HV4" s="41"/>
      <c r="HW4" s="41"/>
      <c r="HX4" s="32"/>
      <c r="HY4" s="40"/>
      <c r="HZ4" s="40"/>
      <c r="IA4" s="41"/>
      <c r="IB4" s="41"/>
      <c r="IC4" s="41"/>
      <c r="ID4" s="41"/>
      <c r="IE4" s="41"/>
      <c r="IF4" s="41"/>
      <c r="IG4" s="32"/>
    </row>
    <row r="5" spans="1:244" ht="15" customHeight="1">
      <c r="A5" s="79"/>
      <c r="B5" s="79"/>
      <c r="C5" s="79"/>
      <c r="D5" s="79"/>
      <c r="E5" s="79"/>
      <c r="F5" s="79"/>
      <c r="G5" s="79"/>
      <c r="H5" s="79"/>
      <c r="I5" s="79"/>
      <c r="J5" s="79" t="s">
        <v>1</v>
      </c>
      <c r="K5" s="79"/>
      <c r="L5" s="79"/>
      <c r="M5" s="79"/>
      <c r="N5" s="79"/>
      <c r="O5" s="79"/>
      <c r="P5" s="79"/>
      <c r="Q5" s="79"/>
      <c r="R5" s="79"/>
      <c r="S5" s="79"/>
      <c r="T5" s="79" t="s">
        <v>2</v>
      </c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  <c r="BM5" s="79"/>
      <c r="BN5" s="79"/>
      <c r="BO5" s="79"/>
      <c r="BP5" s="79"/>
      <c r="BQ5" s="79"/>
      <c r="BR5" s="79"/>
      <c r="BS5" s="79"/>
      <c r="BT5" s="79"/>
      <c r="BU5" s="79"/>
      <c r="BV5" s="79"/>
      <c r="BW5" s="79"/>
      <c r="BX5" s="79"/>
      <c r="BY5" s="79"/>
      <c r="BZ5" s="79"/>
      <c r="CA5" s="79"/>
      <c r="CB5" s="79"/>
      <c r="CK5" s="104"/>
      <c r="CL5" s="104"/>
      <c r="CM5" s="104"/>
      <c r="CN5" s="104"/>
      <c r="CO5" s="110" t="s">
        <v>62</v>
      </c>
      <c r="CP5" s="110"/>
      <c r="CQ5" s="110"/>
      <c r="CR5" s="110"/>
      <c r="CS5" s="104"/>
      <c r="CT5" s="104"/>
      <c r="CU5" s="104"/>
      <c r="CV5" s="111" t="s">
        <v>116</v>
      </c>
      <c r="CW5" s="111"/>
      <c r="CX5" s="111"/>
      <c r="CY5" s="111"/>
      <c r="CZ5" s="111"/>
      <c r="DA5" s="111"/>
      <c r="DB5" s="111"/>
      <c r="DC5" s="111"/>
      <c r="DD5" s="104"/>
      <c r="DE5" s="104"/>
      <c r="DF5" s="104"/>
      <c r="DG5" s="112" t="s">
        <v>118</v>
      </c>
      <c r="DH5" s="112"/>
      <c r="DI5" s="112"/>
      <c r="DJ5" s="112"/>
      <c r="DK5" s="112"/>
      <c r="DL5" s="112"/>
      <c r="DM5" s="112"/>
      <c r="DN5" s="112"/>
      <c r="DO5" s="112"/>
      <c r="DP5" s="112"/>
      <c r="DQ5" s="112"/>
      <c r="DR5" s="112"/>
      <c r="DS5" s="104"/>
      <c r="DT5" s="104"/>
      <c r="DU5" s="104"/>
      <c r="DV5" s="112" t="s">
        <v>118</v>
      </c>
      <c r="DW5" s="112"/>
      <c r="DX5" s="112"/>
      <c r="DY5" s="112"/>
      <c r="DZ5" s="112"/>
      <c r="EA5" s="112"/>
      <c r="EB5" s="112"/>
      <c r="EC5" s="112"/>
      <c r="ED5" s="112"/>
      <c r="EE5" s="112"/>
      <c r="EF5" s="112"/>
      <c r="EG5" s="2"/>
      <c r="EH5" s="112" t="s">
        <v>118</v>
      </c>
      <c r="EI5" s="112"/>
      <c r="EJ5" s="112"/>
      <c r="EK5" s="112"/>
      <c r="EL5" s="112"/>
      <c r="EM5" s="112"/>
      <c r="EN5" s="112"/>
      <c r="EO5" s="112"/>
      <c r="EP5" s="112"/>
      <c r="EQ5" s="112"/>
      <c r="ER5" s="112"/>
      <c r="ET5" s="104"/>
      <c r="FO5" s="30" t="s">
        <v>341</v>
      </c>
      <c r="HR5" s="32"/>
      <c r="HS5" s="48"/>
      <c r="HT5" s="40"/>
      <c r="HU5" s="41"/>
      <c r="HV5" s="41"/>
      <c r="HW5" s="41"/>
      <c r="HX5" s="32"/>
      <c r="HY5" s="40"/>
      <c r="HZ5" s="40"/>
      <c r="IA5" s="41"/>
      <c r="IB5" s="41"/>
      <c r="IC5" s="41"/>
      <c r="ID5" s="41"/>
      <c r="IE5" s="41"/>
      <c r="IF5" s="41"/>
      <c r="IG5" s="32"/>
    </row>
    <row r="6" spans="1:244" ht="15" customHeight="1">
      <c r="A6" s="79"/>
      <c r="B6" s="79"/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81"/>
      <c r="O6" s="81"/>
      <c r="P6" s="81"/>
      <c r="Q6" s="81"/>
      <c r="R6" s="81"/>
      <c r="S6" s="81"/>
      <c r="T6" s="79"/>
      <c r="U6" s="79"/>
      <c r="V6" s="79"/>
      <c r="W6" s="79"/>
      <c r="X6" s="79"/>
      <c r="Y6" s="79"/>
      <c r="Z6" s="79"/>
      <c r="AA6" s="79"/>
      <c r="AB6" s="79"/>
      <c r="AC6" s="79"/>
      <c r="AD6" s="79"/>
      <c r="AE6" s="79"/>
      <c r="AF6" s="79"/>
      <c r="AG6" s="79"/>
      <c r="AH6" s="79"/>
      <c r="AI6" s="79"/>
      <c r="AJ6" s="81"/>
      <c r="AK6" s="81"/>
      <c r="AL6" s="81"/>
      <c r="AM6" s="81"/>
      <c r="AN6" s="81" t="s">
        <v>57</v>
      </c>
      <c r="AO6" s="81"/>
      <c r="AP6" s="79"/>
      <c r="AQ6" s="82" t="s">
        <v>57</v>
      </c>
      <c r="AR6" s="79"/>
      <c r="AS6" s="79"/>
      <c r="AT6" s="79"/>
      <c r="AU6" s="79"/>
      <c r="AV6" s="170" t="s">
        <v>72</v>
      </c>
      <c r="AW6" s="170"/>
      <c r="AX6" s="79"/>
      <c r="AY6" s="79"/>
      <c r="AZ6" s="79"/>
      <c r="BA6" s="79"/>
      <c r="BB6" s="79"/>
      <c r="BC6" s="79"/>
      <c r="BD6" s="79"/>
      <c r="BE6" s="170" t="s">
        <v>73</v>
      </c>
      <c r="BF6" s="170"/>
      <c r="BG6" s="79"/>
      <c r="BH6" s="79"/>
      <c r="BI6" s="79"/>
      <c r="BJ6" s="79" t="s">
        <v>74</v>
      </c>
      <c r="BK6" s="79"/>
      <c r="BL6" s="79"/>
      <c r="BM6" s="79"/>
      <c r="BN6" s="79"/>
      <c r="BO6" s="79"/>
      <c r="BP6" s="79"/>
      <c r="BQ6" s="79"/>
      <c r="BR6" s="79"/>
      <c r="BS6" s="79"/>
      <c r="BT6" s="79"/>
      <c r="BU6" s="79"/>
      <c r="BV6" s="79"/>
      <c r="BW6" s="79"/>
      <c r="BX6" s="79"/>
      <c r="BY6" s="79"/>
      <c r="BZ6" s="79"/>
      <c r="CA6" s="79"/>
      <c r="CB6" s="79" t="s">
        <v>60</v>
      </c>
      <c r="CD6" s="30" t="s">
        <v>59</v>
      </c>
      <c r="CM6" s="104" t="s">
        <v>136</v>
      </c>
      <c r="CN6" s="104"/>
      <c r="CO6" s="106">
        <f>AZ58*(CX30+AZ58)+BF58*(DC30+BF58)</f>
        <v>356474.93837020849</v>
      </c>
      <c r="CP6" s="106"/>
      <c r="CQ6" s="106"/>
      <c r="CR6" s="106"/>
      <c r="CS6" s="106"/>
      <c r="CT6" s="106"/>
      <c r="CU6" s="106"/>
      <c r="CV6" s="107" t="s">
        <v>115</v>
      </c>
      <c r="CW6" s="104"/>
      <c r="CX6" s="106">
        <f>BF58*(CX30+AZ58)-AZ58*(DC30+BF58)</f>
        <v>-32011.49819440626</v>
      </c>
      <c r="CY6" s="106"/>
      <c r="CZ6" s="106"/>
      <c r="DA6" s="106"/>
      <c r="DB6" s="106"/>
      <c r="DC6" s="106"/>
      <c r="DD6" s="104" t="s">
        <v>137</v>
      </c>
      <c r="DE6" s="104" t="s">
        <v>33</v>
      </c>
      <c r="DF6" s="108" t="s">
        <v>136</v>
      </c>
      <c r="DG6" s="108"/>
      <c r="DH6" s="114">
        <f>CO6/CO7</f>
        <v>0.99021870880715968</v>
      </c>
      <c r="DI6" s="114"/>
      <c r="DJ6" s="114"/>
      <c r="DK6" s="114"/>
      <c r="DL6" s="109" t="s">
        <v>115</v>
      </c>
      <c r="DM6" s="108"/>
      <c r="DN6" s="114">
        <f>(CX6/CX7)</f>
        <v>-8.8921775409995574E-2</v>
      </c>
      <c r="DO6" s="114"/>
      <c r="DP6" s="114"/>
      <c r="DQ6" s="114"/>
      <c r="DR6" s="108" t="s">
        <v>137</v>
      </c>
      <c r="DS6" s="108" t="s">
        <v>33</v>
      </c>
      <c r="DT6" s="108" t="s">
        <v>136</v>
      </c>
      <c r="DU6" s="108"/>
      <c r="DV6" s="108" t="s">
        <v>138</v>
      </c>
      <c r="DW6" s="108"/>
      <c r="DX6" s="109" t="s">
        <v>115</v>
      </c>
      <c r="DY6" s="108"/>
      <c r="DZ6" s="108" t="s">
        <v>148</v>
      </c>
      <c r="EA6" s="108"/>
      <c r="EB6" s="108" t="s">
        <v>137</v>
      </c>
      <c r="FP6" s="44" t="s">
        <v>202</v>
      </c>
      <c r="FQ6" s="44" t="s">
        <v>50</v>
      </c>
      <c r="FT6" s="36" t="s">
        <v>280</v>
      </c>
      <c r="HR6" s="32"/>
      <c r="HS6" s="48"/>
      <c r="HT6" s="40"/>
      <c r="HU6" s="41"/>
      <c r="HV6" s="41"/>
      <c r="HW6" s="41"/>
      <c r="HX6" s="32"/>
      <c r="HY6" s="40"/>
      <c r="HZ6" s="40"/>
      <c r="IA6" s="41"/>
      <c r="IB6" s="41"/>
      <c r="IC6" s="41"/>
      <c r="ID6" s="41"/>
      <c r="IE6" s="41"/>
      <c r="IF6" s="41"/>
      <c r="IG6" s="32"/>
    </row>
    <row r="7" spans="1:244" ht="15" customHeight="1">
      <c r="A7" s="79"/>
      <c r="B7" s="79"/>
      <c r="C7" s="79"/>
      <c r="D7" s="79"/>
      <c r="E7" s="79"/>
      <c r="F7" s="79"/>
      <c r="G7" s="79"/>
      <c r="H7" s="79"/>
      <c r="I7" s="79"/>
      <c r="J7" s="79"/>
      <c r="K7" s="79"/>
      <c r="L7" s="79"/>
      <c r="M7" s="79" t="s">
        <v>11</v>
      </c>
      <c r="N7" s="79"/>
      <c r="O7" s="79"/>
      <c r="P7" s="79"/>
      <c r="Q7" s="79"/>
      <c r="R7" s="79"/>
      <c r="S7" s="79"/>
      <c r="T7" s="79"/>
      <c r="U7" s="79"/>
      <c r="V7" s="79"/>
      <c r="W7" s="79" t="s">
        <v>12</v>
      </c>
      <c r="X7" s="79"/>
      <c r="Y7" s="79"/>
      <c r="Z7" s="79"/>
      <c r="AA7" s="79"/>
      <c r="AB7" s="79"/>
      <c r="AC7" s="79"/>
      <c r="AD7" s="79"/>
      <c r="AE7" s="79"/>
      <c r="AF7" s="79"/>
      <c r="AG7" s="79"/>
      <c r="AH7" s="79"/>
      <c r="AI7" s="79"/>
      <c r="AJ7" s="79"/>
      <c r="AK7" s="79"/>
      <c r="AL7" s="79"/>
      <c r="AM7" s="79"/>
      <c r="AN7" s="83"/>
      <c r="AO7" s="79"/>
      <c r="AP7" s="79"/>
      <c r="AQ7" s="79"/>
      <c r="AR7" s="79"/>
      <c r="AS7" s="79"/>
      <c r="AT7" s="79"/>
      <c r="AU7" s="79"/>
      <c r="AV7" s="79"/>
      <c r="AW7" s="79"/>
      <c r="AX7" s="79"/>
      <c r="AY7" s="79"/>
      <c r="AZ7" s="79"/>
      <c r="BA7" s="79"/>
      <c r="BB7" s="79"/>
      <c r="BC7" s="79"/>
      <c r="BD7" s="79"/>
      <c r="BE7" s="79"/>
      <c r="BF7" s="79"/>
      <c r="BG7" s="79"/>
      <c r="BH7" s="79"/>
      <c r="BI7" s="79"/>
      <c r="BJ7" s="79"/>
      <c r="BK7" s="79"/>
      <c r="BL7" s="79"/>
      <c r="BM7" s="79"/>
      <c r="BN7" s="79"/>
      <c r="BO7" s="79"/>
      <c r="BP7" s="79"/>
      <c r="BQ7" s="79"/>
      <c r="BR7" s="79"/>
      <c r="BS7" s="79"/>
      <c r="BT7" s="79"/>
      <c r="BU7" s="79"/>
      <c r="BV7" s="79"/>
      <c r="BW7" s="79"/>
      <c r="BX7" s="79"/>
      <c r="BY7" s="79"/>
      <c r="BZ7" s="79"/>
      <c r="CA7" s="79"/>
      <c r="CB7" s="79"/>
      <c r="CM7" s="104"/>
      <c r="CN7" s="104"/>
      <c r="CO7" s="108">
        <f>(CX30+AZ58)^2+(DC30+BF58)^2</f>
        <v>359996.16569517902</v>
      </c>
      <c r="CP7" s="108"/>
      <c r="CQ7" s="108"/>
      <c r="CR7" s="108"/>
      <c r="CS7" s="108"/>
      <c r="CT7" s="108"/>
      <c r="CU7" s="108"/>
      <c r="CV7" s="104"/>
      <c r="CW7" s="104"/>
      <c r="CX7" s="108">
        <f>CO7</f>
        <v>359996.16569517902</v>
      </c>
      <c r="CY7" s="108"/>
      <c r="CZ7" s="108"/>
      <c r="DA7" s="108"/>
      <c r="DB7" s="108"/>
      <c r="DC7" s="108"/>
      <c r="DD7" s="104"/>
      <c r="DE7" s="104"/>
      <c r="DF7" s="108"/>
      <c r="DG7" s="108"/>
      <c r="DH7" s="114"/>
      <c r="DI7" s="114"/>
      <c r="DJ7" s="114"/>
      <c r="DK7" s="114"/>
      <c r="DL7" s="108"/>
      <c r="DM7" s="108"/>
      <c r="DN7" s="114"/>
      <c r="DO7" s="114"/>
      <c r="DP7" s="114"/>
      <c r="DQ7" s="114"/>
      <c r="DR7" s="108"/>
      <c r="DS7" s="108"/>
      <c r="DT7" s="108"/>
      <c r="DU7" s="108"/>
      <c r="DV7" s="108"/>
      <c r="DW7" s="108"/>
      <c r="DX7" s="108"/>
      <c r="DY7" s="108"/>
      <c r="DZ7" s="108"/>
      <c r="EA7" s="108"/>
      <c r="EB7" s="108"/>
      <c r="EZ7" s="30" t="s">
        <v>190</v>
      </c>
      <c r="FC7" s="104">
        <f>SQRT(DF10^2+DM10^2)</f>
        <v>0.98649616279552133</v>
      </c>
      <c r="FD7" s="104"/>
      <c r="FE7" s="104"/>
      <c r="FF7" s="104"/>
      <c r="FG7" s="104"/>
      <c r="FH7" s="104"/>
      <c r="FI7" s="3" t="s">
        <v>191</v>
      </c>
      <c r="FO7" s="30" t="s">
        <v>199</v>
      </c>
      <c r="FP7" s="17">
        <v>3183</v>
      </c>
      <c r="FQ7" s="28">
        <f>1/(2*PI()*FP7)*1000000</f>
        <v>50.001552966351028</v>
      </c>
      <c r="FT7" s="36" t="s">
        <v>281</v>
      </c>
      <c r="HR7" s="32"/>
      <c r="HS7" s="48"/>
      <c r="HT7" s="40"/>
      <c r="HU7" s="41"/>
      <c r="HV7" s="41"/>
      <c r="HW7" s="41"/>
      <c r="HX7" s="32"/>
      <c r="HY7" s="40"/>
      <c r="HZ7" s="40"/>
      <c r="IA7" s="41"/>
      <c r="IB7" s="41"/>
      <c r="IC7" s="41"/>
      <c r="ID7" s="41"/>
      <c r="IE7" s="41"/>
      <c r="IF7" s="41"/>
      <c r="IG7" s="32"/>
    </row>
    <row r="8" spans="1:244" ht="15" customHeight="1">
      <c r="A8" s="79"/>
      <c r="B8" s="79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  <c r="AB8" s="86"/>
      <c r="AC8" s="79"/>
      <c r="AD8" s="87"/>
      <c r="AE8" s="79"/>
      <c r="AF8" s="79"/>
      <c r="AG8" s="79"/>
      <c r="AH8" s="79"/>
      <c r="AI8" s="79"/>
      <c r="AJ8" s="79"/>
      <c r="AK8" s="79"/>
      <c r="AL8" s="79"/>
      <c r="AM8" s="79"/>
      <c r="AN8" s="79"/>
      <c r="AO8" s="79"/>
      <c r="AP8" s="79"/>
      <c r="AQ8" s="79"/>
      <c r="AR8" s="79"/>
      <c r="AS8" s="79"/>
      <c r="AT8" s="79"/>
      <c r="AU8" s="79"/>
      <c r="AV8" s="79"/>
      <c r="AW8" s="79"/>
      <c r="AX8" s="79"/>
      <c r="AY8" s="79"/>
      <c r="AZ8" s="79"/>
      <c r="BA8" s="79"/>
      <c r="BB8" s="79"/>
      <c r="BC8" s="79"/>
      <c r="BD8" s="79"/>
      <c r="BE8" s="79"/>
      <c r="BF8" s="79"/>
      <c r="BG8" s="79"/>
      <c r="BH8" s="79"/>
      <c r="BI8" s="79"/>
      <c r="BJ8" s="79"/>
      <c r="BK8" s="79"/>
      <c r="BL8" s="79"/>
      <c r="BM8" s="79"/>
      <c r="BN8" s="79"/>
      <c r="BO8" s="79"/>
      <c r="BP8" s="79"/>
      <c r="BQ8" s="79"/>
      <c r="BR8" s="79"/>
      <c r="BS8" s="79"/>
      <c r="BT8" s="79"/>
      <c r="BU8" s="79"/>
      <c r="BV8" s="79"/>
      <c r="BW8" s="79"/>
      <c r="BX8" s="79"/>
      <c r="BY8" s="79"/>
      <c r="BZ8" s="79"/>
      <c r="CA8" s="79"/>
      <c r="CB8" s="79" t="s">
        <v>63</v>
      </c>
      <c r="CE8" s="30" t="s">
        <v>62</v>
      </c>
      <c r="CL8" s="104" t="s">
        <v>78</v>
      </c>
      <c r="CM8" s="104"/>
      <c r="CN8" s="104" t="s">
        <v>79</v>
      </c>
      <c r="CO8" s="104"/>
      <c r="CP8" s="105" t="s">
        <v>80</v>
      </c>
      <c r="CQ8" s="105"/>
      <c r="CR8" s="105"/>
      <c r="CS8" s="104" t="s">
        <v>33</v>
      </c>
      <c r="CT8" s="104" t="s">
        <v>79</v>
      </c>
      <c r="CU8" s="104"/>
      <c r="CV8" s="106" t="s">
        <v>140</v>
      </c>
      <c r="CW8" s="106"/>
      <c r="CX8" s="106"/>
      <c r="CY8" s="106"/>
      <c r="CZ8" s="106"/>
      <c r="DA8" s="106"/>
      <c r="DB8" s="106"/>
      <c r="DC8" s="106"/>
      <c r="DD8" s="106"/>
      <c r="DE8" s="106"/>
      <c r="DF8" s="106"/>
      <c r="DG8" s="104" t="s">
        <v>33</v>
      </c>
      <c r="DH8" s="104" t="s">
        <v>144</v>
      </c>
      <c r="DI8" s="104"/>
      <c r="DJ8" s="106" t="s">
        <v>142</v>
      </c>
      <c r="DK8" s="106"/>
      <c r="DL8" s="106"/>
      <c r="DM8" s="106"/>
      <c r="DN8" s="106"/>
      <c r="DO8" s="106"/>
      <c r="DP8" s="106"/>
      <c r="DQ8" s="106"/>
      <c r="DR8" s="106"/>
      <c r="DS8" s="106"/>
      <c r="DT8" s="107" t="s">
        <v>115</v>
      </c>
      <c r="DU8" s="104"/>
      <c r="DV8" s="106" t="s">
        <v>143</v>
      </c>
      <c r="DW8" s="106"/>
      <c r="DX8" s="106"/>
      <c r="DY8" s="106"/>
      <c r="DZ8" s="106"/>
      <c r="EA8" s="106"/>
      <c r="EB8" s="106"/>
      <c r="EC8" s="106"/>
      <c r="ED8" s="106"/>
      <c r="EE8" s="106"/>
      <c r="EF8" s="113" t="s">
        <v>137</v>
      </c>
      <c r="FO8" s="30" t="s">
        <v>200</v>
      </c>
      <c r="FP8" s="17">
        <v>318.3</v>
      </c>
      <c r="FQ8" s="28">
        <f>1/(2*PI()*FP8)*1000000</f>
        <v>500.01552966351034</v>
      </c>
      <c r="FT8" s="36" t="s">
        <v>286</v>
      </c>
      <c r="HR8" s="32"/>
      <c r="HS8" s="48"/>
      <c r="HT8" s="40"/>
      <c r="HU8" s="41"/>
      <c r="HV8" s="41"/>
      <c r="HW8" s="41"/>
      <c r="HX8" s="32"/>
      <c r="HY8" s="40"/>
      <c r="HZ8" s="40"/>
      <c r="IA8" s="41"/>
      <c r="IB8" s="41"/>
      <c r="IC8" s="41"/>
      <c r="ID8" s="41"/>
      <c r="IE8" s="41"/>
      <c r="IF8" s="41"/>
      <c r="IG8" s="32"/>
    </row>
    <row r="9" spans="1:244" ht="15" customHeight="1">
      <c r="A9" s="79"/>
      <c r="B9" s="79"/>
      <c r="C9" s="79"/>
      <c r="D9" s="79"/>
      <c r="E9" s="88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79"/>
      <c r="AX9" s="79"/>
      <c r="AY9" s="79"/>
      <c r="AZ9" s="84"/>
      <c r="BA9" s="79"/>
      <c r="BB9" s="79"/>
      <c r="BC9" s="79"/>
      <c r="BD9" s="79"/>
      <c r="BE9" s="79"/>
      <c r="BF9" s="79"/>
      <c r="BG9" s="79"/>
      <c r="BH9" s="79"/>
      <c r="BI9" s="79"/>
      <c r="BJ9" s="79"/>
      <c r="BK9" s="79"/>
      <c r="BL9" s="79"/>
      <c r="BM9" s="79"/>
      <c r="BN9" s="79"/>
      <c r="BO9" s="79"/>
      <c r="BP9" s="79"/>
      <c r="BQ9" s="79"/>
      <c r="BR9" s="79"/>
      <c r="BS9" s="79"/>
      <c r="BT9" s="79"/>
      <c r="BU9" s="79"/>
      <c r="BV9" s="79"/>
      <c r="BW9" s="79"/>
      <c r="BX9" s="79"/>
      <c r="BY9" s="79"/>
      <c r="BZ9" s="79"/>
      <c r="CA9" s="79"/>
      <c r="CB9" s="79"/>
      <c r="CL9" s="104"/>
      <c r="CM9" s="104"/>
      <c r="CN9" s="104"/>
      <c r="CO9" s="104"/>
      <c r="CP9" s="111" t="s">
        <v>61</v>
      </c>
      <c r="CQ9" s="111"/>
      <c r="CR9" s="111"/>
      <c r="CS9" s="104"/>
      <c r="CT9" s="104"/>
      <c r="CU9" s="104"/>
      <c r="CV9" s="112" t="s">
        <v>139</v>
      </c>
      <c r="CW9" s="112"/>
      <c r="CX9" s="112"/>
      <c r="CY9" s="112"/>
      <c r="CZ9" s="112"/>
      <c r="DA9" s="112"/>
      <c r="DB9" s="112"/>
      <c r="DC9" s="112"/>
      <c r="DD9" s="112"/>
      <c r="DE9" s="112"/>
      <c r="DF9" s="112"/>
      <c r="DG9" s="104"/>
      <c r="DH9" s="104"/>
      <c r="DI9" s="104"/>
      <c r="DJ9" s="108" t="s">
        <v>141</v>
      </c>
      <c r="DK9" s="108"/>
      <c r="DL9" s="108"/>
      <c r="DM9" s="108"/>
      <c r="DN9" s="108"/>
      <c r="DO9" s="108"/>
      <c r="DP9" s="108"/>
      <c r="DQ9" s="108"/>
      <c r="DR9" s="108"/>
      <c r="DS9" s="108"/>
      <c r="DT9" s="104"/>
      <c r="DU9" s="104"/>
      <c r="DV9" s="108" t="s">
        <v>141</v>
      </c>
      <c r="DW9" s="108"/>
      <c r="DX9" s="108"/>
      <c r="DY9" s="108"/>
      <c r="DZ9" s="108"/>
      <c r="EA9" s="108"/>
      <c r="EB9" s="108"/>
      <c r="EC9" s="108"/>
      <c r="ED9" s="108"/>
      <c r="EE9" s="108"/>
      <c r="EF9" s="113"/>
      <c r="FO9" s="30" t="s">
        <v>201</v>
      </c>
      <c r="FP9" s="17">
        <v>75</v>
      </c>
      <c r="FQ9" s="28">
        <f>1/(2*PI()*FP9)*1000000</f>
        <v>2122.065907891938</v>
      </c>
      <c r="FT9" s="36" t="s">
        <v>282</v>
      </c>
      <c r="HR9" s="32"/>
      <c r="HS9" s="48"/>
      <c r="HT9" s="48"/>
      <c r="HU9" s="41"/>
      <c r="HV9" s="41"/>
      <c r="HW9" s="41"/>
      <c r="HX9" s="32"/>
      <c r="HY9" s="48"/>
      <c r="HZ9" s="48"/>
      <c r="IA9" s="41"/>
      <c r="IB9" s="41"/>
      <c r="IC9" s="41"/>
      <c r="ID9" s="41"/>
      <c r="IE9" s="41"/>
      <c r="IF9" s="41"/>
      <c r="IG9" s="32"/>
    </row>
    <row r="10" spans="1:244" ht="15" customHeight="1">
      <c r="A10" s="79"/>
      <c r="B10" s="79"/>
      <c r="C10" s="79"/>
      <c r="D10" s="79"/>
      <c r="E10" s="79"/>
      <c r="F10" s="79"/>
      <c r="G10" s="79"/>
      <c r="H10" s="79" t="s">
        <v>3</v>
      </c>
      <c r="I10" s="79"/>
      <c r="J10" s="79"/>
      <c r="K10" s="79"/>
      <c r="L10" s="79"/>
      <c r="M10" s="79" t="s">
        <v>3</v>
      </c>
      <c r="N10" s="79"/>
      <c r="O10" s="79"/>
      <c r="P10" s="79"/>
      <c r="Q10" s="79"/>
      <c r="R10" s="79" t="s">
        <v>4</v>
      </c>
      <c r="S10" s="79"/>
      <c r="T10" s="79"/>
      <c r="U10" s="79"/>
      <c r="V10" s="79"/>
      <c r="W10" s="79" t="s">
        <v>4</v>
      </c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79"/>
      <c r="AS10" s="79"/>
      <c r="AT10" s="79"/>
      <c r="AU10" s="79"/>
      <c r="AV10" s="79"/>
      <c r="AW10" s="79"/>
      <c r="AX10" s="79"/>
      <c r="AY10" s="79"/>
      <c r="AZ10" s="79"/>
      <c r="BA10" s="79"/>
      <c r="BB10" s="79"/>
      <c r="BC10" s="79"/>
      <c r="BD10" s="79"/>
      <c r="BE10" s="79"/>
      <c r="BF10" s="79"/>
      <c r="BG10" s="79"/>
      <c r="BH10" s="79"/>
      <c r="BI10" s="79"/>
      <c r="BJ10" s="79"/>
      <c r="BK10" s="79"/>
      <c r="BL10" s="79"/>
      <c r="BM10" s="79"/>
      <c r="BN10" s="79"/>
      <c r="BO10" s="79"/>
      <c r="BP10" s="79"/>
      <c r="BQ10" s="79"/>
      <c r="BR10" s="79"/>
      <c r="BS10" s="79"/>
      <c r="BT10" s="79"/>
      <c r="BU10" s="79"/>
      <c r="BV10" s="79"/>
      <c r="BW10" s="79"/>
      <c r="BX10" s="79"/>
      <c r="BY10" s="79"/>
      <c r="BZ10" s="79"/>
      <c r="CA10" s="79"/>
      <c r="CB10" s="79"/>
      <c r="CD10" s="104" t="s">
        <v>33</v>
      </c>
      <c r="CE10" s="104" t="s">
        <v>64</v>
      </c>
      <c r="CF10" s="104"/>
      <c r="CG10" s="105" t="s">
        <v>65</v>
      </c>
      <c r="CH10" s="105"/>
      <c r="CI10" s="105"/>
      <c r="CM10" s="104" t="s">
        <v>33</v>
      </c>
      <c r="CN10" s="104" t="s">
        <v>144</v>
      </c>
      <c r="CO10" s="104"/>
      <c r="CP10" s="106">
        <f>BP50*(BP50-CX30)+BV50*(BV50-DC30)</f>
        <v>363521.17504786939</v>
      </c>
      <c r="CQ10" s="106"/>
      <c r="CR10" s="106"/>
      <c r="CS10" s="106"/>
      <c r="CT10" s="106"/>
      <c r="CU10" s="107" t="s">
        <v>115</v>
      </c>
      <c r="CV10" s="104"/>
      <c r="CW10" s="106">
        <f>(BP50*(BV50-DC30)-BV50*(BP50-CX30))</f>
        <v>-32011.676483605985</v>
      </c>
      <c r="CX10" s="106"/>
      <c r="CY10" s="106"/>
      <c r="CZ10" s="106"/>
      <c r="DA10" s="106"/>
      <c r="DB10" s="104" t="s">
        <v>137</v>
      </c>
      <c r="DC10" s="104" t="s">
        <v>33</v>
      </c>
      <c r="DD10" s="108" t="s">
        <v>144</v>
      </c>
      <c r="DE10" s="108"/>
      <c r="DF10" s="117">
        <f>CP10/CP11</f>
        <v>0.98269334142599218</v>
      </c>
      <c r="DG10" s="117"/>
      <c r="DH10" s="117"/>
      <c r="DI10" s="117"/>
      <c r="DJ10" s="117"/>
      <c r="DK10" s="115" t="s">
        <v>115</v>
      </c>
      <c r="DL10" s="116"/>
      <c r="DM10" s="117">
        <f>CW10/CW11</f>
        <v>-8.6535980535879908E-2</v>
      </c>
      <c r="DN10" s="117"/>
      <c r="DO10" s="117"/>
      <c r="DP10" s="117"/>
      <c r="DQ10" s="117"/>
      <c r="DR10" s="108" t="s">
        <v>137</v>
      </c>
      <c r="DS10" s="108" t="s">
        <v>33</v>
      </c>
      <c r="DT10" s="108" t="s">
        <v>144</v>
      </c>
      <c r="DU10" s="108"/>
      <c r="DV10" s="108" t="s">
        <v>145</v>
      </c>
      <c r="DW10" s="108"/>
      <c r="DX10" s="109" t="s">
        <v>115</v>
      </c>
      <c r="DY10" s="108"/>
      <c r="DZ10" s="108" t="s">
        <v>149</v>
      </c>
      <c r="EA10" s="108"/>
      <c r="EB10" s="108" t="s">
        <v>137</v>
      </c>
      <c r="EC10" s="2"/>
      <c r="EZ10" s="30" t="s">
        <v>193</v>
      </c>
      <c r="FC10" s="104">
        <f>SQRT(DL18^2+DR18^2)</f>
        <v>0.99999722418532</v>
      </c>
      <c r="FD10" s="104"/>
      <c r="FE10" s="104"/>
      <c r="FF10" s="104"/>
      <c r="FG10" s="104"/>
      <c r="FH10" s="104"/>
      <c r="FI10" s="3" t="s">
        <v>195</v>
      </c>
      <c r="FO10" s="30" t="s">
        <v>283</v>
      </c>
      <c r="FP10" s="30">
        <f>FP7/FP8</f>
        <v>10</v>
      </c>
      <c r="FT10" s="30" t="s">
        <v>292</v>
      </c>
      <c r="FZ10" s="30" t="s">
        <v>289</v>
      </c>
      <c r="HR10" s="32"/>
      <c r="HS10" s="48"/>
      <c r="HT10" s="48"/>
      <c r="HU10" s="41"/>
      <c r="HV10" s="41"/>
      <c r="HW10" s="41"/>
      <c r="HX10" s="32"/>
      <c r="HY10" s="48"/>
      <c r="HZ10" s="48"/>
      <c r="IA10" s="41"/>
      <c r="IB10" s="41"/>
      <c r="IC10" s="41"/>
      <c r="ID10" s="41"/>
      <c r="IE10" s="41"/>
      <c r="IF10" s="41"/>
      <c r="IG10" s="32"/>
    </row>
    <row r="11" spans="1:244" ht="15" customHeight="1">
      <c r="A11" s="79"/>
      <c r="B11" s="79"/>
      <c r="C11" s="79"/>
      <c r="D11" s="79"/>
      <c r="E11" s="79"/>
      <c r="F11" s="79"/>
      <c r="G11" s="79"/>
      <c r="H11" s="79"/>
      <c r="I11" s="79"/>
      <c r="J11" s="79"/>
      <c r="K11" s="79"/>
      <c r="L11" s="79"/>
      <c r="M11" s="79"/>
      <c r="N11" s="79"/>
      <c r="O11" s="79"/>
      <c r="P11" s="79"/>
      <c r="Q11" s="79"/>
      <c r="R11" s="79"/>
      <c r="S11" s="79"/>
      <c r="T11" s="79"/>
      <c r="U11" s="79"/>
      <c r="V11" s="79"/>
      <c r="W11" s="79"/>
      <c r="X11" s="79"/>
      <c r="Y11" s="79"/>
      <c r="Z11" s="79"/>
      <c r="AA11" s="79"/>
      <c r="AB11" s="79"/>
      <c r="AC11" s="79"/>
      <c r="AD11" s="79"/>
      <c r="AE11" s="79"/>
      <c r="AF11" s="79"/>
      <c r="AG11" s="85"/>
      <c r="AH11" s="79"/>
      <c r="AI11" s="79"/>
      <c r="AJ11" s="79"/>
      <c r="AK11" s="79"/>
      <c r="AL11" s="79"/>
      <c r="AM11" s="79"/>
      <c r="AN11" s="79"/>
      <c r="AO11" s="79"/>
      <c r="AP11" s="79"/>
      <c r="AQ11" s="79"/>
      <c r="AR11" s="79"/>
      <c r="AS11" s="79"/>
      <c r="AT11" s="79"/>
      <c r="AU11" s="79"/>
      <c r="AV11" s="79"/>
      <c r="AW11" s="79"/>
      <c r="AX11" s="79"/>
      <c r="AY11" s="79"/>
      <c r="AZ11" s="79"/>
      <c r="BA11" s="79"/>
      <c r="BB11" s="79"/>
      <c r="BC11" s="79"/>
      <c r="BD11" s="79"/>
      <c r="BE11" s="79"/>
      <c r="BF11" s="79"/>
      <c r="BG11" s="79"/>
      <c r="BH11" s="79"/>
      <c r="BI11" s="79"/>
      <c r="BJ11" s="79"/>
      <c r="BK11" s="79"/>
      <c r="BL11" s="79"/>
      <c r="BM11" s="79"/>
      <c r="BN11" s="79"/>
      <c r="BO11" s="79"/>
      <c r="BP11" s="79"/>
      <c r="BQ11" s="79"/>
      <c r="BR11" s="79"/>
      <c r="BS11" s="79"/>
      <c r="BT11" s="79"/>
      <c r="BU11" s="79"/>
      <c r="BV11" s="79"/>
      <c r="BW11" s="79"/>
      <c r="BX11" s="79"/>
      <c r="BY11" s="79"/>
      <c r="BZ11" s="79"/>
      <c r="CA11" s="79"/>
      <c r="CB11" s="79"/>
      <c r="CD11" s="104"/>
      <c r="CE11" s="104"/>
      <c r="CF11" s="104"/>
      <c r="CG11" s="111" t="s">
        <v>66</v>
      </c>
      <c r="CH11" s="111"/>
      <c r="CI11" s="111"/>
      <c r="CM11" s="104"/>
      <c r="CN11" s="104"/>
      <c r="CO11" s="104"/>
      <c r="CP11" s="108">
        <f>(BP50^2+BV50^2)</f>
        <v>369923.31149854098</v>
      </c>
      <c r="CQ11" s="108"/>
      <c r="CR11" s="108"/>
      <c r="CS11" s="108"/>
      <c r="CT11" s="108"/>
      <c r="CU11" s="104"/>
      <c r="CV11" s="104"/>
      <c r="CW11" s="108">
        <f>CP11</f>
        <v>369923.31149854098</v>
      </c>
      <c r="CX11" s="108"/>
      <c r="CY11" s="108"/>
      <c r="CZ11" s="108"/>
      <c r="DA11" s="108"/>
      <c r="DB11" s="104"/>
      <c r="DC11" s="104"/>
      <c r="DD11" s="108"/>
      <c r="DE11" s="108"/>
      <c r="DF11" s="117"/>
      <c r="DG11" s="117"/>
      <c r="DH11" s="117"/>
      <c r="DI11" s="117"/>
      <c r="DJ11" s="117"/>
      <c r="DK11" s="116"/>
      <c r="DL11" s="116"/>
      <c r="DM11" s="117"/>
      <c r="DN11" s="117"/>
      <c r="DO11" s="117"/>
      <c r="DP11" s="117"/>
      <c r="DQ11" s="117"/>
      <c r="DR11" s="108"/>
      <c r="DS11" s="108"/>
      <c r="DT11" s="108"/>
      <c r="DU11" s="108"/>
      <c r="DV11" s="108"/>
      <c r="DW11" s="108"/>
      <c r="DX11" s="108"/>
      <c r="DY11" s="108"/>
      <c r="DZ11" s="108"/>
      <c r="EA11" s="108"/>
      <c r="EB11" s="108"/>
      <c r="EC11" s="2"/>
      <c r="FO11" s="43" t="s">
        <v>38</v>
      </c>
      <c r="FP11" s="12">
        <f>FZ11</f>
        <v>490.90909090909093</v>
      </c>
      <c r="FQ11" s="30" t="s">
        <v>43</v>
      </c>
      <c r="FT11" s="30" t="s">
        <v>293</v>
      </c>
      <c r="FY11" s="43" t="s">
        <v>38</v>
      </c>
      <c r="FZ11" s="30">
        <f>FP15*(FP10-1)/(FP10+1)</f>
        <v>490.90909090909093</v>
      </c>
      <c r="GA11" s="30" t="s">
        <v>43</v>
      </c>
      <c r="HI11" s="30" t="s">
        <v>310</v>
      </c>
      <c r="HR11" s="32"/>
      <c r="HS11" s="2"/>
      <c r="HT11" s="2" t="s">
        <v>320</v>
      </c>
      <c r="HU11" s="1"/>
      <c r="HV11" s="2"/>
      <c r="HX11" s="2"/>
      <c r="HY11" s="2"/>
      <c r="HZ11" s="2"/>
      <c r="IA11" s="2"/>
      <c r="IE11" s="2"/>
      <c r="IF11" s="2"/>
      <c r="IG11" s="2"/>
      <c r="IH11" s="2"/>
      <c r="II11" s="2"/>
      <c r="IJ11" s="2"/>
    </row>
    <row r="12" spans="1:244" ht="15" customHeight="1">
      <c r="A12" s="79"/>
      <c r="B12" s="79"/>
      <c r="C12" s="79"/>
      <c r="D12" s="79"/>
      <c r="E12" s="79"/>
      <c r="F12" s="79"/>
      <c r="G12" s="79"/>
      <c r="H12" s="79"/>
      <c r="I12" s="79"/>
      <c r="J12" s="85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79"/>
      <c r="AO12" s="79"/>
      <c r="AP12" s="79"/>
      <c r="AQ12" s="170" t="s">
        <v>23</v>
      </c>
      <c r="AR12" s="170"/>
      <c r="AS12" s="79"/>
      <c r="AT12" s="79"/>
      <c r="AU12" s="79"/>
      <c r="AV12" s="79"/>
      <c r="AW12" s="79"/>
      <c r="AX12" s="79"/>
      <c r="AY12" s="79"/>
      <c r="AZ12" s="79"/>
      <c r="BA12" s="79"/>
      <c r="BB12" s="79"/>
      <c r="BC12" s="79"/>
      <c r="BD12" s="79"/>
      <c r="BE12" s="79"/>
      <c r="BF12" s="170" t="s">
        <v>24</v>
      </c>
      <c r="BG12" s="170"/>
      <c r="BH12" s="79"/>
      <c r="BI12" s="79"/>
      <c r="BJ12" s="79"/>
      <c r="BK12" s="79"/>
      <c r="BL12" s="79"/>
      <c r="BM12" s="79"/>
      <c r="BN12" s="79"/>
      <c r="BO12" s="79"/>
      <c r="BP12" s="79"/>
      <c r="BQ12" s="79"/>
      <c r="BR12" s="79"/>
      <c r="BS12" s="79"/>
      <c r="BT12" s="79"/>
      <c r="BU12" s="79"/>
      <c r="BV12" s="79"/>
      <c r="BW12" s="79"/>
      <c r="BX12" s="79"/>
      <c r="BY12" s="79"/>
      <c r="BZ12" s="79"/>
      <c r="CA12" s="79"/>
      <c r="CB12" s="79"/>
      <c r="CM12" s="30" t="s">
        <v>33</v>
      </c>
      <c r="CN12" s="30" t="s">
        <v>146</v>
      </c>
      <c r="CW12" s="30" t="s">
        <v>33</v>
      </c>
      <c r="CX12" s="30" t="s">
        <v>147</v>
      </c>
      <c r="FO12" s="43" t="s">
        <v>39</v>
      </c>
      <c r="FP12" s="26">
        <v>600</v>
      </c>
      <c r="FQ12" s="30" t="s">
        <v>43</v>
      </c>
      <c r="FY12" s="43"/>
      <c r="HI12" s="30" t="s">
        <v>311</v>
      </c>
      <c r="HR12" s="32"/>
      <c r="HS12" s="2"/>
      <c r="HT12" s="2" t="s">
        <v>321</v>
      </c>
      <c r="HU12" s="2"/>
      <c r="HV12" s="2"/>
      <c r="HW12" s="2"/>
      <c r="HX12" s="2"/>
      <c r="HY12" s="2"/>
      <c r="HZ12" s="2"/>
      <c r="IA12" s="2"/>
      <c r="IE12" s="2"/>
      <c r="IF12" s="2"/>
      <c r="IG12" s="2"/>
      <c r="IH12" s="2"/>
      <c r="II12" s="2"/>
      <c r="IJ12" s="2"/>
    </row>
    <row r="13" spans="1:244" ht="15" customHeight="1">
      <c r="A13" s="79"/>
      <c r="B13" s="79"/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  <c r="Q13" s="79"/>
      <c r="R13" s="79"/>
      <c r="S13" s="79"/>
      <c r="T13" s="79"/>
      <c r="U13" s="79"/>
      <c r="V13" s="79"/>
      <c r="W13" s="79"/>
      <c r="X13" s="79"/>
      <c r="Y13" s="79"/>
      <c r="Z13" s="79"/>
      <c r="AA13" s="79"/>
      <c r="AB13" s="79"/>
      <c r="AC13" s="79"/>
      <c r="AD13" s="79"/>
      <c r="AE13" s="79"/>
      <c r="AF13" s="79"/>
      <c r="AG13" s="79"/>
      <c r="AH13" s="79"/>
      <c r="AI13" s="79"/>
      <c r="AJ13" s="79"/>
      <c r="AK13" s="79"/>
      <c r="AL13" s="85"/>
      <c r="AM13" s="79"/>
      <c r="AN13" s="79"/>
      <c r="AO13" s="79"/>
      <c r="AP13" s="79"/>
      <c r="AQ13" s="79"/>
      <c r="AR13" s="79"/>
      <c r="AS13" s="79"/>
      <c r="AT13" s="79"/>
      <c r="AU13" s="79"/>
      <c r="AV13" s="79"/>
      <c r="AW13" s="79"/>
      <c r="AX13" s="79"/>
      <c r="AY13" s="79"/>
      <c r="AZ13" s="79"/>
      <c r="BA13" s="79"/>
      <c r="BB13" s="79"/>
      <c r="BC13" s="79"/>
      <c r="BD13" s="79"/>
      <c r="BE13" s="79"/>
      <c r="BF13" s="79"/>
      <c r="BG13" s="79"/>
      <c r="BH13" s="79"/>
      <c r="BI13" s="79"/>
      <c r="BJ13" s="79"/>
      <c r="BK13" s="79"/>
      <c r="BL13" s="79"/>
      <c r="BM13" s="79"/>
      <c r="BN13" s="79"/>
      <c r="BO13" s="79"/>
      <c r="BP13" s="79"/>
      <c r="BQ13" s="79"/>
      <c r="BR13" s="79"/>
      <c r="BS13" s="79"/>
      <c r="BT13" s="79"/>
      <c r="BU13" s="170" t="s">
        <v>58</v>
      </c>
      <c r="BV13" s="170"/>
      <c r="BW13" s="79"/>
      <c r="BX13" s="79"/>
      <c r="BY13" s="79"/>
      <c r="BZ13" s="79"/>
      <c r="CA13" s="79"/>
      <c r="CB13" s="79"/>
      <c r="CM13" s="30" t="s">
        <v>33</v>
      </c>
      <c r="CN13" s="15" t="s">
        <v>136</v>
      </c>
      <c r="CO13" s="15"/>
      <c r="CP13" s="114">
        <f>DH6*DF10-DN6*DM10</f>
        <v>0.965386398674144</v>
      </c>
      <c r="CQ13" s="114"/>
      <c r="CR13" s="114"/>
      <c r="CS13" s="114"/>
      <c r="CT13" s="114"/>
      <c r="CU13" s="118" t="s">
        <v>115</v>
      </c>
      <c r="CV13" s="118"/>
      <c r="CW13" s="114">
        <f>DN6*DF10+DH6*DM10</f>
        <v>-0.17307238351478069</v>
      </c>
      <c r="CX13" s="114"/>
      <c r="CY13" s="114"/>
      <c r="CZ13" s="114"/>
      <c r="DA13" s="114"/>
      <c r="DB13" s="15" t="s">
        <v>137</v>
      </c>
      <c r="DC13" s="15" t="s">
        <v>33</v>
      </c>
      <c r="DD13" s="15" t="s">
        <v>136</v>
      </c>
      <c r="DE13" s="15"/>
      <c r="DF13" s="15" t="s">
        <v>150</v>
      </c>
      <c r="DG13" s="15"/>
      <c r="DH13" s="118" t="s">
        <v>151</v>
      </c>
      <c r="DI13" s="118"/>
      <c r="DJ13" s="15" t="s">
        <v>152</v>
      </c>
      <c r="DK13" s="15"/>
      <c r="DL13" s="15" t="s">
        <v>137</v>
      </c>
      <c r="EZ13" s="30" t="s">
        <v>194</v>
      </c>
      <c r="FC13" s="104">
        <f>SQRT(DI24^2+DO24^2)</f>
        <v>0.99999167267153521</v>
      </c>
      <c r="FD13" s="104"/>
      <c r="FE13" s="104"/>
      <c r="FF13" s="104"/>
      <c r="FG13" s="104"/>
      <c r="FH13" s="104"/>
      <c r="FI13" s="3" t="s">
        <v>196</v>
      </c>
      <c r="FO13" s="43" t="s">
        <v>40</v>
      </c>
      <c r="FP13" s="12">
        <f>FZ13</f>
        <v>121.21212121212122</v>
      </c>
      <c r="FQ13" s="30" t="s">
        <v>43</v>
      </c>
      <c r="FT13" s="30" t="s">
        <v>284</v>
      </c>
      <c r="FY13" s="43" t="s">
        <v>40</v>
      </c>
      <c r="FZ13" s="30">
        <f>FP15*2*FP10/(FP10^2-1)</f>
        <v>121.21212121212122</v>
      </c>
      <c r="GA13" s="30" t="s">
        <v>43</v>
      </c>
      <c r="HI13" s="26" t="s">
        <v>312</v>
      </c>
      <c r="HR13" s="32"/>
      <c r="HS13" s="59"/>
      <c r="HT13" s="2" t="s">
        <v>322</v>
      </c>
      <c r="HU13" s="41"/>
      <c r="HV13" s="41"/>
      <c r="HW13" s="41"/>
      <c r="HX13" s="32"/>
      <c r="HY13" s="48"/>
      <c r="HZ13" s="48"/>
      <c r="IA13" s="41"/>
      <c r="IB13" s="41"/>
      <c r="IC13" s="41"/>
      <c r="ID13" s="41"/>
      <c r="IE13" s="41"/>
      <c r="IF13" s="41"/>
      <c r="IG13" s="32"/>
    </row>
    <row r="14" spans="1:244" ht="15" customHeight="1">
      <c r="A14" s="79"/>
      <c r="B14" s="79"/>
      <c r="C14" s="79"/>
      <c r="D14" s="79"/>
      <c r="E14" s="79"/>
      <c r="F14" s="79"/>
      <c r="G14" s="79"/>
      <c r="H14" s="79"/>
      <c r="I14" s="79"/>
      <c r="J14" s="79"/>
      <c r="K14" s="79"/>
      <c r="L14" s="79" t="s">
        <v>8</v>
      </c>
      <c r="M14" s="79"/>
      <c r="N14" s="79"/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83"/>
      <c r="AM14" s="79"/>
      <c r="AN14" s="79"/>
      <c r="AO14" s="79"/>
      <c r="AP14" s="79"/>
      <c r="AQ14" s="79"/>
      <c r="AR14" s="79"/>
      <c r="AS14" s="79"/>
      <c r="AT14" s="79"/>
      <c r="AU14" s="79"/>
      <c r="AV14" s="79"/>
      <c r="AW14" s="79"/>
      <c r="AX14" s="79"/>
      <c r="AY14" s="79"/>
      <c r="AZ14" s="79"/>
      <c r="BA14" s="79"/>
      <c r="BB14" s="79"/>
      <c r="BC14" s="79"/>
      <c r="BD14" s="79"/>
      <c r="BE14" s="79"/>
      <c r="BF14" s="79"/>
      <c r="BG14" s="79"/>
      <c r="BH14" s="79"/>
      <c r="BI14" s="79"/>
      <c r="BJ14" s="79"/>
      <c r="BK14" s="79"/>
      <c r="BL14" s="79"/>
      <c r="BM14" s="79"/>
      <c r="BN14" s="79"/>
      <c r="BO14" s="79"/>
      <c r="BP14" s="79"/>
      <c r="BQ14" s="79"/>
      <c r="BR14" s="79"/>
      <c r="BS14" s="79"/>
      <c r="BT14" s="79"/>
      <c r="BU14" s="79"/>
      <c r="BV14" s="79"/>
      <c r="BW14" s="79"/>
      <c r="BX14" s="79"/>
      <c r="BY14" s="79"/>
      <c r="BZ14" s="79"/>
      <c r="CA14" s="79"/>
      <c r="CB14" s="79"/>
      <c r="CH14" s="2"/>
      <c r="CI14" s="2"/>
      <c r="CJ14" s="2"/>
      <c r="CK14" s="104" t="s">
        <v>81</v>
      </c>
      <c r="CL14" s="104"/>
      <c r="CM14" s="104" t="s">
        <v>82</v>
      </c>
      <c r="CN14" s="104"/>
      <c r="CO14" s="105" t="s">
        <v>83</v>
      </c>
      <c r="CP14" s="105"/>
      <c r="CQ14" s="105"/>
      <c r="CR14" s="105"/>
      <c r="CS14" s="110" t="s">
        <v>33</v>
      </c>
      <c r="CT14" s="104" t="s">
        <v>82</v>
      </c>
      <c r="CU14" s="104"/>
      <c r="CV14" s="106" t="s">
        <v>153</v>
      </c>
      <c r="CW14" s="106"/>
      <c r="CX14" s="106"/>
      <c r="CY14" s="106"/>
      <c r="CZ14" s="106"/>
      <c r="DA14" s="106"/>
      <c r="DB14" s="106"/>
      <c r="DC14" s="106"/>
      <c r="DD14" s="106"/>
      <c r="DE14" s="106"/>
      <c r="DF14" s="106"/>
      <c r="DG14" s="106"/>
      <c r="DH14" s="106"/>
      <c r="DI14" s="106"/>
      <c r="DJ14" s="106"/>
      <c r="DK14" s="106"/>
      <c r="DL14" s="106"/>
      <c r="DM14" s="2"/>
      <c r="FO14" s="43" t="s">
        <v>41</v>
      </c>
      <c r="FP14" s="12">
        <v>100000000</v>
      </c>
      <c r="FQ14" s="30" t="s">
        <v>43</v>
      </c>
      <c r="FR14" s="30" t="s">
        <v>285</v>
      </c>
      <c r="FY14" s="43"/>
      <c r="HI14" s="26" t="s">
        <v>316</v>
      </c>
      <c r="HR14" s="32"/>
      <c r="HS14" s="48"/>
      <c r="HT14" s="2" t="s">
        <v>323</v>
      </c>
      <c r="HU14" s="41"/>
      <c r="HV14" s="41"/>
      <c r="HW14" s="41"/>
      <c r="HX14" s="32"/>
      <c r="HY14" s="48"/>
      <c r="HZ14" s="48"/>
      <c r="IA14" s="41"/>
      <c r="IB14" s="41"/>
      <c r="IC14" s="41"/>
      <c r="ID14" s="41"/>
      <c r="IE14" s="41"/>
      <c r="IF14" s="41"/>
      <c r="IG14" s="32"/>
    </row>
    <row r="15" spans="1:244" ht="15" customHeight="1">
      <c r="A15" s="120"/>
      <c r="B15" s="121"/>
      <c r="C15" s="85"/>
      <c r="D15" s="85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  <c r="AL15" s="79"/>
      <c r="AM15" s="79"/>
      <c r="AN15" s="79"/>
      <c r="AO15" s="79"/>
      <c r="AP15" s="79"/>
      <c r="AQ15" s="79"/>
      <c r="AR15" s="79"/>
      <c r="AS15" s="79"/>
      <c r="AT15" s="79"/>
      <c r="AU15" s="79"/>
      <c r="AV15" s="79"/>
      <c r="AW15" s="79"/>
      <c r="AX15" s="79"/>
      <c r="AY15" s="79" t="s">
        <v>8</v>
      </c>
      <c r="AZ15" s="79"/>
      <c r="BA15" s="79"/>
      <c r="BB15" s="79"/>
      <c r="BC15" s="79"/>
      <c r="BD15" s="79"/>
      <c r="BE15" s="79"/>
      <c r="BF15" s="79"/>
      <c r="BG15" s="79"/>
      <c r="BH15" s="79"/>
      <c r="BI15" s="79"/>
      <c r="BJ15" s="79"/>
      <c r="BK15" s="79"/>
      <c r="BL15" s="79"/>
      <c r="BM15" s="79"/>
      <c r="BN15" s="79"/>
      <c r="BO15" s="79"/>
      <c r="BP15" s="79"/>
      <c r="BQ15" s="79"/>
      <c r="BR15" s="79"/>
      <c r="BS15" s="79"/>
      <c r="BT15" s="79"/>
      <c r="BU15" s="79"/>
      <c r="BV15" s="79"/>
      <c r="BW15" s="79"/>
      <c r="BX15" s="79"/>
      <c r="BY15" s="79"/>
      <c r="BZ15" s="79"/>
      <c r="CA15" s="79"/>
      <c r="CB15" s="80"/>
      <c r="CC15" s="2"/>
      <c r="CD15" s="2"/>
      <c r="CE15" s="2"/>
      <c r="CF15" s="2"/>
      <c r="CG15" s="2"/>
      <c r="CH15" s="2"/>
      <c r="CI15" s="2"/>
      <c r="CJ15" s="2"/>
      <c r="CK15" s="104"/>
      <c r="CL15" s="104"/>
      <c r="CM15" s="104"/>
      <c r="CN15" s="104"/>
      <c r="CO15" s="111" t="s">
        <v>80</v>
      </c>
      <c r="CP15" s="111"/>
      <c r="CQ15" s="111"/>
      <c r="CR15" s="111"/>
      <c r="CS15" s="110"/>
      <c r="CT15" s="104"/>
      <c r="CU15" s="104"/>
      <c r="CV15" s="116" t="s">
        <v>154</v>
      </c>
      <c r="CW15" s="116"/>
      <c r="CX15" s="116"/>
      <c r="CY15" s="116"/>
      <c r="CZ15" s="116"/>
      <c r="DA15" s="116"/>
      <c r="DB15" s="116"/>
      <c r="DC15" s="116"/>
      <c r="DD15" s="116"/>
      <c r="DE15" s="116"/>
      <c r="DF15" s="116"/>
      <c r="DG15" s="116"/>
      <c r="DH15" s="116"/>
      <c r="DI15" s="116"/>
      <c r="DJ15" s="116"/>
      <c r="DK15" s="116"/>
      <c r="DL15" s="116"/>
      <c r="DM15" s="2"/>
      <c r="FO15" s="43" t="s">
        <v>42</v>
      </c>
      <c r="FP15" s="12">
        <v>600</v>
      </c>
      <c r="FQ15" s="30" t="s">
        <v>43</v>
      </c>
      <c r="FX15" s="2"/>
      <c r="FY15" s="43"/>
      <c r="FZ15" s="2"/>
      <c r="GH15" s="2"/>
      <c r="GI15" s="2"/>
      <c r="GJ15" s="2"/>
      <c r="HI15" s="62" t="s">
        <v>327</v>
      </c>
      <c r="HR15" s="32"/>
      <c r="HS15" s="48" t="s">
        <v>276</v>
      </c>
      <c r="HT15" s="60" t="s">
        <v>324</v>
      </c>
      <c r="HU15" s="41"/>
      <c r="HV15" s="41"/>
      <c r="HW15" s="41"/>
      <c r="HX15" s="32"/>
      <c r="HY15" s="48"/>
      <c r="HZ15" s="48"/>
      <c r="IA15" s="41"/>
      <c r="IB15" s="41"/>
      <c r="IC15" s="41"/>
      <c r="ID15" s="41"/>
      <c r="IE15" s="41"/>
      <c r="IF15" s="41"/>
      <c r="IG15" s="32"/>
    </row>
    <row r="16" spans="1:244" ht="15" customHeight="1">
      <c r="A16" s="79"/>
      <c r="B16" s="79"/>
      <c r="C16" s="79"/>
      <c r="D16" s="79"/>
      <c r="E16" s="79"/>
      <c r="F16" s="79"/>
      <c r="G16" s="78"/>
      <c r="H16" s="79"/>
      <c r="I16" s="79"/>
      <c r="J16" s="79"/>
      <c r="K16" s="79"/>
      <c r="L16" s="79"/>
      <c r="M16" s="79"/>
      <c r="N16" s="79"/>
      <c r="O16" s="79"/>
      <c r="P16" s="79"/>
      <c r="Q16" s="79"/>
      <c r="R16" s="79"/>
      <c r="S16" s="79"/>
      <c r="T16" s="79"/>
      <c r="U16" s="79"/>
      <c r="V16" s="79"/>
      <c r="W16" s="79"/>
      <c r="X16" s="79"/>
      <c r="Y16" s="79"/>
      <c r="Z16" s="79"/>
      <c r="AA16" s="79"/>
      <c r="AB16" s="79"/>
      <c r="AC16" s="79"/>
      <c r="AD16" s="79"/>
      <c r="AE16" s="79"/>
      <c r="AF16" s="79"/>
      <c r="AG16" s="79"/>
      <c r="AH16" s="79"/>
      <c r="AI16" s="79"/>
      <c r="AJ16" s="79"/>
      <c r="AK16" s="79"/>
      <c r="AL16" s="79"/>
      <c r="AM16" s="79"/>
      <c r="AN16" s="79"/>
      <c r="AO16" s="79"/>
      <c r="AP16" s="79"/>
      <c r="AQ16" s="79"/>
      <c r="AR16" s="79"/>
      <c r="AS16" s="79"/>
      <c r="AT16" s="79"/>
      <c r="AU16" s="79"/>
      <c r="AV16" s="79"/>
      <c r="AW16" s="79"/>
      <c r="AX16" s="79"/>
      <c r="AY16" s="79"/>
      <c r="AZ16" s="79"/>
      <c r="BA16" s="79"/>
      <c r="BB16" s="79"/>
      <c r="BC16" s="79"/>
      <c r="BD16" s="79"/>
      <c r="BE16" s="79"/>
      <c r="BF16" s="79"/>
      <c r="BG16" s="79"/>
      <c r="BH16" s="79"/>
      <c r="BI16" s="79"/>
      <c r="BJ16" s="79"/>
      <c r="BK16" s="79"/>
      <c r="BL16" s="79"/>
      <c r="BM16" s="79"/>
      <c r="BN16" s="79"/>
      <c r="BO16" s="79"/>
      <c r="BP16" s="79"/>
      <c r="BQ16" s="79"/>
      <c r="BR16" s="79"/>
      <c r="BS16" s="79"/>
      <c r="BT16" s="79"/>
      <c r="BU16" s="79"/>
      <c r="BV16" s="79"/>
      <c r="BW16" s="79"/>
      <c r="BX16" s="79"/>
      <c r="BY16" s="79"/>
      <c r="BZ16" s="79"/>
      <c r="CA16" s="79"/>
      <c r="CB16" s="80"/>
      <c r="CC16" s="2"/>
      <c r="CD16" s="2"/>
      <c r="CE16" s="2"/>
      <c r="CF16" s="2"/>
      <c r="CG16" s="2"/>
      <c r="CH16" s="2"/>
      <c r="CI16" s="2"/>
      <c r="CJ16" s="2"/>
      <c r="CS16" s="110" t="s">
        <v>33</v>
      </c>
      <c r="CT16" s="104" t="s">
        <v>157</v>
      </c>
      <c r="CU16" s="104"/>
      <c r="CV16" s="106" t="s">
        <v>156</v>
      </c>
      <c r="CW16" s="106"/>
      <c r="CX16" s="106"/>
      <c r="CY16" s="106"/>
      <c r="CZ16" s="106"/>
      <c r="DA16" s="106"/>
      <c r="DB16" s="106"/>
      <c r="DC16" s="106"/>
      <c r="DD16" s="106"/>
      <c r="DE16" s="106"/>
      <c r="DF16" s="106"/>
      <c r="DG16" s="106"/>
      <c r="DH16" s="106"/>
      <c r="DI16" s="106"/>
      <c r="DJ16" s="106"/>
      <c r="DK16" s="106"/>
      <c r="DL16" s="106"/>
      <c r="DM16" s="110" t="s">
        <v>30</v>
      </c>
      <c r="DN16" s="104" t="s">
        <v>114</v>
      </c>
      <c r="DO16" s="123" t="s">
        <v>158</v>
      </c>
      <c r="DP16" s="123"/>
      <c r="DQ16" s="123"/>
      <c r="DR16" s="123"/>
      <c r="DS16" s="123"/>
      <c r="DT16" s="123"/>
      <c r="DU16" s="123"/>
      <c r="DV16" s="123"/>
      <c r="DW16" s="123"/>
      <c r="DX16" s="123"/>
      <c r="DY16" s="123"/>
      <c r="DZ16" s="123"/>
      <c r="EA16" s="123"/>
      <c r="EB16" s="123"/>
      <c r="EC16" s="123"/>
      <c r="ED16" s="123"/>
      <c r="EE16" s="123"/>
      <c r="EF16" s="123"/>
      <c r="EG16" s="119" t="s">
        <v>137</v>
      </c>
      <c r="EJ16" s="30" t="s">
        <v>187</v>
      </c>
      <c r="EZ16" s="30" t="s">
        <v>194</v>
      </c>
      <c r="FC16" s="104">
        <f>FC4*FC7*FC10*FC13</f>
        <v>0.98076683674703058</v>
      </c>
      <c r="FD16" s="104"/>
      <c r="FE16" s="104"/>
      <c r="FF16" s="104"/>
      <c r="FG16" s="104"/>
      <c r="FH16" s="104"/>
      <c r="FI16" s="3" t="s">
        <v>192</v>
      </c>
      <c r="FO16" s="43" t="s">
        <v>53</v>
      </c>
      <c r="FP16" s="12">
        <v>0</v>
      </c>
      <c r="FQ16" s="30" t="s">
        <v>43</v>
      </c>
      <c r="FX16" s="46"/>
      <c r="FY16" s="43"/>
      <c r="FZ16" s="46"/>
      <c r="GH16" s="46"/>
      <c r="GI16" s="46"/>
      <c r="GJ16" s="46"/>
      <c r="HI16" s="62" t="s">
        <v>328</v>
      </c>
      <c r="HR16" s="32"/>
      <c r="HS16" s="48" t="s">
        <v>277</v>
      </c>
      <c r="HT16" s="60" t="s">
        <v>325</v>
      </c>
      <c r="HU16" s="41"/>
      <c r="HV16" s="41"/>
      <c r="HW16" s="41"/>
      <c r="HX16" s="32"/>
      <c r="HY16" s="48"/>
      <c r="HZ16" s="48"/>
      <c r="IA16" s="41"/>
      <c r="IB16" s="41"/>
      <c r="IC16" s="41"/>
      <c r="ID16" s="41"/>
      <c r="IE16" s="41"/>
      <c r="IF16" s="41"/>
      <c r="IG16" s="32"/>
    </row>
    <row r="17" spans="1:244" ht="15" customHeight="1">
      <c r="A17" s="79"/>
      <c r="B17" s="79"/>
      <c r="C17" s="79"/>
      <c r="D17" s="79"/>
      <c r="E17" s="79"/>
      <c r="F17" s="79"/>
      <c r="G17" s="79"/>
      <c r="H17" s="79"/>
      <c r="I17" s="79"/>
      <c r="J17" s="79"/>
      <c r="K17" s="79"/>
      <c r="L17" s="79"/>
      <c r="M17" s="79"/>
      <c r="N17" s="79"/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79"/>
      <c r="AF17" s="79"/>
      <c r="AG17" s="79"/>
      <c r="AH17" s="79"/>
      <c r="AI17" s="79"/>
      <c r="AJ17" s="79"/>
      <c r="AK17" s="79"/>
      <c r="AL17" s="79"/>
      <c r="AM17" s="79"/>
      <c r="AN17" s="79"/>
      <c r="AO17" s="79"/>
      <c r="AP17" s="79"/>
      <c r="AQ17" s="79"/>
      <c r="AR17" s="79"/>
      <c r="AS17" s="79"/>
      <c r="AT17" s="79"/>
      <c r="AU17" s="79"/>
      <c r="AV17" s="79"/>
      <c r="AW17" s="79"/>
      <c r="AX17" s="79"/>
      <c r="AY17" s="79"/>
      <c r="AZ17" s="79"/>
      <c r="BA17" s="79"/>
      <c r="BB17" s="79"/>
      <c r="BC17" s="79"/>
      <c r="BD17" s="79"/>
      <c r="BE17" s="79"/>
      <c r="BF17" s="79"/>
      <c r="BG17" s="79"/>
      <c r="BH17" s="79"/>
      <c r="BI17" s="79"/>
      <c r="BJ17" s="79"/>
      <c r="BK17" s="79"/>
      <c r="BL17" s="79"/>
      <c r="BM17" s="79"/>
      <c r="BN17" s="79"/>
      <c r="BO17" s="79"/>
      <c r="BP17" s="79"/>
      <c r="BQ17" s="79"/>
      <c r="BR17" s="79"/>
      <c r="BS17" s="79"/>
      <c r="BT17" s="79"/>
      <c r="BU17" s="79"/>
      <c r="BV17" s="79"/>
      <c r="BW17" s="79"/>
      <c r="BX17" s="79"/>
      <c r="BY17" s="79"/>
      <c r="BZ17" s="79"/>
      <c r="CA17" s="79"/>
      <c r="CB17" s="80"/>
      <c r="CC17" s="2"/>
      <c r="CD17" s="2"/>
      <c r="CE17" s="2"/>
      <c r="CF17" s="2"/>
      <c r="CG17" s="2"/>
      <c r="CH17" s="2"/>
      <c r="CI17" s="2"/>
      <c r="CJ17" s="2"/>
      <c r="CS17" s="110"/>
      <c r="CT17" s="104"/>
      <c r="CU17" s="104"/>
      <c r="CV17" s="116" t="s">
        <v>155</v>
      </c>
      <c r="CW17" s="116"/>
      <c r="CX17" s="116"/>
      <c r="CY17" s="116"/>
      <c r="CZ17" s="116"/>
      <c r="DA17" s="116"/>
      <c r="DB17" s="116"/>
      <c r="DC17" s="116"/>
      <c r="DD17" s="116"/>
      <c r="DE17" s="116"/>
      <c r="DF17" s="116"/>
      <c r="DG17" s="116"/>
      <c r="DH17" s="116"/>
      <c r="DI17" s="116"/>
      <c r="DJ17" s="116"/>
      <c r="DK17" s="116"/>
      <c r="DL17" s="116"/>
      <c r="DM17" s="110"/>
      <c r="DN17" s="104"/>
      <c r="DO17" s="108" t="str">
        <f>CV17</f>
        <v>(Z8r-Z1r)^2+(Z8i-Z1i)^2</v>
      </c>
      <c r="DP17" s="108"/>
      <c r="DQ17" s="108"/>
      <c r="DR17" s="108"/>
      <c r="DS17" s="108"/>
      <c r="DT17" s="108"/>
      <c r="DU17" s="108"/>
      <c r="DV17" s="108"/>
      <c r="DW17" s="108"/>
      <c r="DX17" s="108"/>
      <c r="DY17" s="108"/>
      <c r="DZ17" s="108"/>
      <c r="EA17" s="108"/>
      <c r="EB17" s="108"/>
      <c r="EC17" s="108"/>
      <c r="ED17" s="108"/>
      <c r="EE17" s="108"/>
      <c r="EF17" s="108"/>
      <c r="EG17" s="119"/>
      <c r="FO17" s="43" t="s">
        <v>54</v>
      </c>
      <c r="FP17" s="12">
        <v>0</v>
      </c>
      <c r="FQ17" s="30" t="s">
        <v>43</v>
      </c>
      <c r="FY17" s="43"/>
      <c r="HH17" s="30" t="s">
        <v>317</v>
      </c>
      <c r="HI17" s="30" t="s">
        <v>329</v>
      </c>
      <c r="HR17" s="32"/>
      <c r="HS17" s="48"/>
      <c r="HT17" s="48"/>
      <c r="HU17" s="41"/>
      <c r="HV17" s="41"/>
      <c r="HW17" s="41"/>
      <c r="HX17" s="32"/>
      <c r="HY17" s="48"/>
      <c r="HZ17" s="48"/>
      <c r="IA17" s="41"/>
      <c r="IB17" s="41"/>
      <c r="IC17" s="41"/>
      <c r="ID17" s="41"/>
      <c r="IE17" s="41"/>
      <c r="IF17" s="41"/>
      <c r="IG17" s="32"/>
    </row>
    <row r="18" spans="1:244" ht="15" customHeight="1">
      <c r="A18" s="79"/>
      <c r="B18" s="79"/>
      <c r="C18" s="79"/>
      <c r="D18" s="79"/>
      <c r="E18" s="88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8"/>
      <c r="AI18" s="79"/>
      <c r="AJ18" s="79"/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79"/>
      <c r="AV18" s="79"/>
      <c r="AW18" s="79"/>
      <c r="AX18" s="79"/>
      <c r="AY18" s="79"/>
      <c r="AZ18" s="79"/>
      <c r="BA18" s="79"/>
      <c r="BB18" s="79"/>
      <c r="BC18" s="79"/>
      <c r="BD18" s="79"/>
      <c r="BE18" s="79"/>
      <c r="BF18" s="79"/>
      <c r="BG18" s="79"/>
      <c r="BH18" s="79"/>
      <c r="BI18" s="79"/>
      <c r="BJ18" s="79"/>
      <c r="BK18" s="79"/>
      <c r="BL18" s="79"/>
      <c r="BM18" s="79"/>
      <c r="BN18" s="79"/>
      <c r="BO18" s="79"/>
      <c r="BP18" s="79"/>
      <c r="BQ18" s="79"/>
      <c r="BR18" s="79"/>
      <c r="BS18" s="79"/>
      <c r="BT18" s="79"/>
      <c r="BU18" s="79"/>
      <c r="BV18" s="79"/>
      <c r="BW18" s="79"/>
      <c r="BX18" s="79"/>
      <c r="BY18" s="79"/>
      <c r="BZ18" s="79"/>
      <c r="CA18" s="79"/>
      <c r="CB18" s="80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110" t="s">
        <v>33</v>
      </c>
      <c r="CT18" s="113" t="s">
        <v>157</v>
      </c>
      <c r="CU18" s="113"/>
      <c r="CV18" s="106">
        <f>(BP50-CX30-DN34)*(BP50-CX30)+(BV50-DC30-DS34)*(BV50-DC30)</f>
        <v>359998.00141620421</v>
      </c>
      <c r="CW18" s="106"/>
      <c r="CX18" s="106"/>
      <c r="CY18" s="106"/>
      <c r="CZ18" s="106"/>
      <c r="DA18" s="122" t="s">
        <v>30</v>
      </c>
      <c r="DB18" s="113" t="s">
        <v>114</v>
      </c>
      <c r="DC18" s="106">
        <f>((BV50-DC30-DS34)*(BP50-CX30)-(BV50-DC30)*(BP50-CX30-DN34))</f>
        <v>-848.22530741711626</v>
      </c>
      <c r="DD18" s="106"/>
      <c r="DE18" s="106"/>
      <c r="DF18" s="106"/>
      <c r="DG18" s="106"/>
      <c r="DH18" s="122" t="s">
        <v>137</v>
      </c>
      <c r="DI18" s="104" t="s">
        <v>33</v>
      </c>
      <c r="DJ18" s="124" t="s">
        <v>157</v>
      </c>
      <c r="DK18" s="124"/>
      <c r="DL18" s="114">
        <f>CV18/CV19</f>
        <v>0.99999444837834506</v>
      </c>
      <c r="DM18" s="114"/>
      <c r="DN18" s="114"/>
      <c r="DO18" s="114"/>
      <c r="DP18" s="126" t="s">
        <v>115</v>
      </c>
      <c r="DQ18" s="124"/>
      <c r="DR18" s="114">
        <f>DC18/DC19</f>
        <v>-2.3561814094919895E-3</v>
      </c>
      <c r="DS18" s="114"/>
      <c r="DT18" s="114"/>
      <c r="DU18" s="114"/>
      <c r="DV18" s="124" t="s">
        <v>137</v>
      </c>
      <c r="DW18" s="125" t="s">
        <v>33</v>
      </c>
      <c r="DX18" s="124" t="s">
        <v>157</v>
      </c>
      <c r="DY18" s="124"/>
      <c r="DZ18" s="125" t="s">
        <v>159</v>
      </c>
      <c r="EA18" s="125"/>
      <c r="EB18" s="125" t="s">
        <v>30</v>
      </c>
      <c r="EC18" s="124" t="s">
        <v>114</v>
      </c>
      <c r="ED18" s="124" t="s">
        <v>160</v>
      </c>
      <c r="EE18" s="124"/>
      <c r="EF18" s="124" t="s">
        <v>137</v>
      </c>
      <c r="EI18" s="30" t="s">
        <v>182</v>
      </c>
      <c r="EK18" s="105" t="s">
        <v>180</v>
      </c>
      <c r="EL18" s="105"/>
      <c r="EM18" s="105"/>
      <c r="EN18" s="105"/>
      <c r="EO18" s="104" t="s">
        <v>33</v>
      </c>
      <c r="EP18" s="106" t="s">
        <v>188</v>
      </c>
      <c r="EQ18" s="106"/>
      <c r="ER18" s="106"/>
      <c r="ES18" s="106"/>
      <c r="ET18" s="106"/>
      <c r="EU18" s="106"/>
      <c r="EV18" s="106"/>
      <c r="EW18" s="106"/>
      <c r="EX18" s="106"/>
      <c r="EY18" s="106"/>
      <c r="EZ18" s="106"/>
      <c r="FA18" s="106"/>
      <c r="FB18" s="106"/>
      <c r="FC18" s="106"/>
      <c r="FD18" s="106"/>
      <c r="FE18" s="106"/>
      <c r="FF18" s="106"/>
      <c r="FG18" s="106"/>
      <c r="FH18" s="106"/>
      <c r="FI18" s="106"/>
      <c r="FO18" s="43" t="s">
        <v>44</v>
      </c>
      <c r="FP18" s="12">
        <f>FZ18</f>
        <v>1.71882</v>
      </c>
      <c r="FQ18" s="30" t="s">
        <v>46</v>
      </c>
      <c r="FY18" s="43" t="s">
        <v>44</v>
      </c>
      <c r="FZ18" s="30">
        <f>FP15^2*FP20/1000000</f>
        <v>1.71882</v>
      </c>
      <c r="GA18" s="30" t="s">
        <v>46</v>
      </c>
      <c r="HH18" s="30" t="s">
        <v>318</v>
      </c>
      <c r="HI18" s="30" t="s">
        <v>330</v>
      </c>
      <c r="HR18" s="32"/>
      <c r="HS18" s="48"/>
      <c r="HT18" s="48"/>
      <c r="HU18" s="41"/>
      <c r="HV18" s="38"/>
      <c r="HW18" s="38"/>
      <c r="HX18" s="32"/>
      <c r="HY18" s="32"/>
      <c r="HZ18" s="32"/>
      <c r="IA18" s="32"/>
      <c r="IB18" s="32"/>
      <c r="IC18" s="32"/>
      <c r="ID18" s="32"/>
      <c r="IE18" s="32"/>
      <c r="IF18" s="32"/>
      <c r="IG18" s="32"/>
    </row>
    <row r="19" spans="1:244" ht="15" customHeight="1">
      <c r="A19" s="79"/>
      <c r="B19" s="79"/>
      <c r="C19" s="79"/>
      <c r="D19" s="79"/>
      <c r="E19" s="79"/>
      <c r="F19" s="79"/>
      <c r="G19" s="79"/>
      <c r="H19" s="79"/>
      <c r="I19" s="79"/>
      <c r="J19" s="79"/>
      <c r="K19" s="79"/>
      <c r="L19" s="79"/>
      <c r="M19" s="79"/>
      <c r="N19" s="79"/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79"/>
      <c r="AA19" s="79"/>
      <c r="AB19" s="79"/>
      <c r="AC19" s="79"/>
      <c r="AD19" s="79"/>
      <c r="AE19" s="79"/>
      <c r="AF19" s="79"/>
      <c r="AG19" s="79"/>
      <c r="AH19" s="79"/>
      <c r="AI19" s="79"/>
      <c r="AJ19" s="79"/>
      <c r="AK19" s="79"/>
      <c r="AL19" s="79"/>
      <c r="AM19" s="79"/>
      <c r="AN19" s="79"/>
      <c r="AO19" s="79"/>
      <c r="AP19" s="79"/>
      <c r="AQ19" s="79"/>
      <c r="AR19" s="79"/>
      <c r="AS19" s="79"/>
      <c r="AT19" s="79"/>
      <c r="AU19" s="79"/>
      <c r="AV19" s="79"/>
      <c r="AW19" s="79"/>
      <c r="AX19" s="79"/>
      <c r="AY19" s="79"/>
      <c r="AZ19" s="79"/>
      <c r="BA19" s="79"/>
      <c r="BB19" s="79"/>
      <c r="BC19" s="79"/>
      <c r="BD19" s="79"/>
      <c r="BE19" s="79"/>
      <c r="BF19" s="79"/>
      <c r="BG19" s="79"/>
      <c r="BH19" s="79"/>
      <c r="BI19" s="79"/>
      <c r="BJ19" s="79"/>
      <c r="BK19" s="79"/>
      <c r="BL19" s="79"/>
      <c r="BM19" s="79"/>
      <c r="BN19" s="79"/>
      <c r="BO19" s="79"/>
      <c r="BP19" s="79"/>
      <c r="BQ19" s="79"/>
      <c r="BR19" s="79"/>
      <c r="BS19" s="79"/>
      <c r="BT19" s="79"/>
      <c r="BU19" s="79"/>
      <c r="BV19" s="79"/>
      <c r="BW19" s="79"/>
      <c r="BX19" s="79"/>
      <c r="BY19" s="79"/>
      <c r="BZ19" s="79"/>
      <c r="CA19" s="79"/>
      <c r="CB19" s="80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110"/>
      <c r="CT19" s="113"/>
      <c r="CU19" s="113"/>
      <c r="CV19" s="116">
        <f>((BP50-CX30)^2+(BV50-DC30)^2)</f>
        <v>360000</v>
      </c>
      <c r="CW19" s="116"/>
      <c r="CX19" s="116"/>
      <c r="CY19" s="116"/>
      <c r="CZ19" s="116"/>
      <c r="DA19" s="122"/>
      <c r="DB19" s="113"/>
      <c r="DC19" s="116">
        <f>CV19</f>
        <v>360000</v>
      </c>
      <c r="DD19" s="116"/>
      <c r="DE19" s="116"/>
      <c r="DF19" s="116"/>
      <c r="DG19" s="116"/>
      <c r="DH19" s="122"/>
      <c r="DI19" s="104"/>
      <c r="DJ19" s="124"/>
      <c r="DK19" s="124"/>
      <c r="DL19" s="114"/>
      <c r="DM19" s="114"/>
      <c r="DN19" s="114"/>
      <c r="DO19" s="114"/>
      <c r="DP19" s="124"/>
      <c r="DQ19" s="124"/>
      <c r="DR19" s="114"/>
      <c r="DS19" s="114"/>
      <c r="DT19" s="114"/>
      <c r="DU19" s="114"/>
      <c r="DV19" s="124"/>
      <c r="DW19" s="125"/>
      <c r="DX19" s="124"/>
      <c r="DY19" s="124"/>
      <c r="DZ19" s="125"/>
      <c r="EA19" s="125"/>
      <c r="EB19" s="125"/>
      <c r="EC19" s="124"/>
      <c r="ED19" s="124"/>
      <c r="EE19" s="124"/>
      <c r="EF19" s="124"/>
      <c r="EI19" s="2"/>
      <c r="EJ19" s="2"/>
      <c r="EK19" s="2" t="s">
        <v>131</v>
      </c>
      <c r="EL19" s="2"/>
      <c r="EM19" s="2"/>
      <c r="EN19" s="2"/>
      <c r="EO19" s="104"/>
      <c r="EP19" s="112" t="s">
        <v>186</v>
      </c>
      <c r="EQ19" s="112"/>
      <c r="ER19" s="112"/>
      <c r="ES19" s="112"/>
      <c r="ET19" s="112"/>
      <c r="EU19" s="112"/>
      <c r="EV19" s="112"/>
      <c r="EW19" s="112"/>
      <c r="EX19" s="112"/>
      <c r="EY19" s="112"/>
      <c r="EZ19" s="112"/>
      <c r="FA19" s="112"/>
      <c r="FB19" s="112"/>
      <c r="FC19" s="112"/>
      <c r="FD19" s="112"/>
      <c r="FE19" s="112"/>
      <c r="FF19" s="112"/>
      <c r="FG19" s="112"/>
      <c r="FH19" s="112"/>
      <c r="FI19" s="112"/>
      <c r="FO19" s="43" t="s">
        <v>45</v>
      </c>
      <c r="FP19" s="12">
        <f>FP9*FP15*10^(-6)</f>
        <v>4.4999999999999998E-2</v>
      </c>
      <c r="FQ19" s="30" t="s">
        <v>46</v>
      </c>
      <c r="FU19" s="98"/>
      <c r="FV19" s="98"/>
      <c r="FW19" s="98"/>
      <c r="FX19" s="98"/>
      <c r="FY19" s="43"/>
      <c r="HH19" s="30" t="s">
        <v>315</v>
      </c>
      <c r="HI19" s="30" t="s">
        <v>319</v>
      </c>
      <c r="HR19" s="32"/>
      <c r="HS19" s="48"/>
      <c r="HT19" s="48"/>
      <c r="HU19" s="41"/>
      <c r="HV19" s="41"/>
      <c r="HW19" s="41"/>
      <c r="HX19" s="32"/>
      <c r="HY19" s="32"/>
      <c r="HZ19" s="32"/>
      <c r="IA19" s="32"/>
      <c r="IB19" s="32"/>
      <c r="IC19" s="32"/>
      <c r="ID19" s="32"/>
      <c r="IE19" s="32"/>
      <c r="IF19" s="32"/>
      <c r="IG19" s="32"/>
    </row>
    <row r="20" spans="1:244" ht="15" customHeight="1">
      <c r="A20" s="79"/>
      <c r="B20" s="79"/>
      <c r="C20" s="79"/>
      <c r="D20" s="79"/>
      <c r="E20" s="79"/>
      <c r="F20" s="79"/>
      <c r="G20" s="79"/>
      <c r="H20" s="79"/>
      <c r="I20" s="79" t="s">
        <v>7</v>
      </c>
      <c r="J20" s="79"/>
      <c r="K20" s="79"/>
      <c r="L20" s="79"/>
      <c r="M20" s="79"/>
      <c r="N20" s="79"/>
      <c r="O20" s="79" t="s">
        <v>9</v>
      </c>
      <c r="P20" s="79"/>
      <c r="Q20" s="79"/>
      <c r="R20" s="79"/>
      <c r="S20" s="79"/>
      <c r="T20" s="79"/>
      <c r="U20" s="79"/>
      <c r="V20" s="79" t="s">
        <v>6</v>
      </c>
      <c r="W20" s="79"/>
      <c r="X20" s="79"/>
      <c r="Y20" s="79"/>
      <c r="Z20" s="88"/>
      <c r="AA20" s="79"/>
      <c r="AB20" s="79"/>
      <c r="AC20" s="79"/>
      <c r="AD20" s="79"/>
      <c r="AE20" s="79"/>
      <c r="AF20" s="79" t="s">
        <v>5</v>
      </c>
      <c r="AG20" s="79"/>
      <c r="AH20" s="79"/>
      <c r="AI20" s="79"/>
      <c r="AJ20" s="79"/>
      <c r="AK20" s="79"/>
      <c r="AL20" s="79"/>
      <c r="AM20" s="79"/>
      <c r="AN20" s="79"/>
      <c r="AO20" s="79"/>
      <c r="AP20" s="79"/>
      <c r="AQ20" s="79"/>
      <c r="AR20" s="79"/>
      <c r="AS20" s="79"/>
      <c r="AT20" s="79"/>
      <c r="AU20" s="79"/>
      <c r="AV20" s="79"/>
      <c r="AW20" s="79"/>
      <c r="AX20" s="79"/>
      <c r="AY20" s="79"/>
      <c r="AZ20" s="79"/>
      <c r="BA20" s="79"/>
      <c r="BB20" s="79"/>
      <c r="BC20" s="79"/>
      <c r="BD20" s="79"/>
      <c r="BE20" s="79"/>
      <c r="BF20" s="79"/>
      <c r="BG20" s="79"/>
      <c r="BH20" s="79"/>
      <c r="BI20" s="79"/>
      <c r="BJ20" s="79"/>
      <c r="BK20" s="79"/>
      <c r="BL20" s="79"/>
      <c r="BM20" s="79"/>
      <c r="BN20" s="79"/>
      <c r="BO20" s="79"/>
      <c r="BP20" s="79"/>
      <c r="BQ20" s="79"/>
      <c r="BR20" s="79"/>
      <c r="BS20" s="79"/>
      <c r="BT20" s="79"/>
      <c r="BU20" s="79"/>
      <c r="BV20" s="79"/>
      <c r="BW20" s="79"/>
      <c r="BX20" s="79"/>
      <c r="BY20" s="79"/>
      <c r="BZ20" s="79"/>
      <c r="CA20" s="79"/>
      <c r="CB20" s="80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 t="s">
        <v>33</v>
      </c>
      <c r="CT20" s="2" t="s">
        <v>161</v>
      </c>
      <c r="CU20" s="2"/>
      <c r="CV20" s="2"/>
      <c r="CW20" s="2"/>
      <c r="CX20" s="2"/>
      <c r="CY20" s="2"/>
      <c r="CZ20" s="2"/>
      <c r="DA20" s="2"/>
      <c r="DB20" s="2"/>
      <c r="DC20" s="2"/>
      <c r="DD20" s="1" t="s">
        <v>162</v>
      </c>
      <c r="DE20" s="2"/>
      <c r="DF20" s="2"/>
      <c r="DG20" s="2"/>
      <c r="DH20" s="1"/>
      <c r="DI20" s="2"/>
      <c r="DJ20" s="2"/>
      <c r="DK20" s="2"/>
      <c r="DL20" s="2"/>
      <c r="DM20" s="2"/>
      <c r="EI20" s="104" t="s">
        <v>33</v>
      </c>
      <c r="EJ20" s="104" t="s">
        <v>79</v>
      </c>
      <c r="EK20" s="104"/>
      <c r="EL20" s="106" t="s">
        <v>309</v>
      </c>
      <c r="EM20" s="106"/>
      <c r="EN20" s="106"/>
      <c r="EO20" s="106"/>
      <c r="EP20" s="106"/>
      <c r="EQ20" s="106"/>
      <c r="ER20" s="106"/>
      <c r="ES20" s="106"/>
      <c r="ET20" s="106"/>
      <c r="EU20" s="106"/>
      <c r="EV20" s="106"/>
      <c r="EW20" s="106"/>
      <c r="EX20" s="106"/>
      <c r="EY20" s="106"/>
      <c r="EZ20" s="106"/>
      <c r="FA20" s="106"/>
      <c r="FB20" s="106"/>
      <c r="FC20" s="106"/>
      <c r="FD20" s="106"/>
      <c r="FE20" s="106"/>
      <c r="FF20" s="106"/>
      <c r="FG20" s="106"/>
      <c r="FH20" s="106"/>
      <c r="FI20" s="106"/>
      <c r="FJ20" s="106"/>
      <c r="FK20" s="106"/>
      <c r="FL20" s="106"/>
      <c r="FM20" s="106"/>
      <c r="FO20" s="43" t="s">
        <v>47</v>
      </c>
      <c r="FP20" s="12">
        <f>FZ20</f>
        <v>4.7744999999999997</v>
      </c>
      <c r="FQ20" s="42" t="s">
        <v>69</v>
      </c>
      <c r="FR20" s="30">
        <f>FP20/1000000</f>
        <v>4.7744999999999998E-6</v>
      </c>
      <c r="FS20" s="30" t="s">
        <v>70</v>
      </c>
      <c r="FU20" s="98"/>
      <c r="FV20" s="98"/>
      <c r="FW20" s="98"/>
      <c r="FX20" s="98"/>
      <c r="FY20" s="43" t="s">
        <v>47</v>
      </c>
      <c r="FZ20" s="30">
        <f>FP7*(FP10-1)/(FP10*FP15)</f>
        <v>4.7744999999999997</v>
      </c>
      <c r="GA20" s="42" t="s">
        <v>69</v>
      </c>
      <c r="GB20" s="51"/>
      <c r="GC20" s="51"/>
      <c r="GD20" s="51"/>
      <c r="GE20" s="51"/>
      <c r="GF20" s="51"/>
      <c r="GG20" s="51"/>
      <c r="HH20" s="30" t="s">
        <v>313</v>
      </c>
      <c r="HI20" s="30" t="s">
        <v>332</v>
      </c>
      <c r="HR20" s="32"/>
      <c r="HS20" s="48"/>
      <c r="HT20" s="48"/>
      <c r="HU20" s="41"/>
      <c r="HV20" s="41"/>
      <c r="HW20" s="41"/>
      <c r="HX20" s="32"/>
      <c r="HY20" s="32"/>
      <c r="HZ20" s="32"/>
      <c r="IA20" s="32"/>
      <c r="IB20" s="32"/>
      <c r="IC20" s="32"/>
      <c r="ID20" s="32"/>
      <c r="IE20" s="32"/>
      <c r="IF20" s="32"/>
      <c r="IG20" s="32"/>
    </row>
    <row r="21" spans="1:244" ht="15" customHeight="1">
      <c r="A21" s="79"/>
      <c r="B21" s="79"/>
      <c r="C21" s="79"/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84"/>
      <c r="AG21" s="79"/>
      <c r="AH21" s="79"/>
      <c r="AI21" s="79"/>
      <c r="AJ21" s="79"/>
      <c r="AK21" s="79"/>
      <c r="AL21" s="79"/>
      <c r="AM21" s="79"/>
      <c r="AN21" s="79"/>
      <c r="AO21" s="79"/>
      <c r="AP21" s="84"/>
      <c r="AQ21" s="79"/>
      <c r="AR21" s="79"/>
      <c r="AS21" s="79"/>
      <c r="AT21" s="79"/>
      <c r="AU21" s="79"/>
      <c r="AV21" s="170" t="s">
        <v>7</v>
      </c>
      <c r="AW21" s="170"/>
      <c r="AX21" s="79"/>
      <c r="AY21" s="79"/>
      <c r="AZ21" s="79"/>
      <c r="BA21" s="170" t="s">
        <v>9</v>
      </c>
      <c r="BB21" s="170"/>
      <c r="BC21" s="170"/>
      <c r="BD21" s="79"/>
      <c r="BE21" s="79"/>
      <c r="BF21" s="79"/>
      <c r="BG21" s="79"/>
      <c r="BH21" s="79"/>
      <c r="BI21" s="79"/>
      <c r="BJ21" s="79"/>
      <c r="BK21" s="79"/>
      <c r="BL21" s="170" t="s">
        <v>6</v>
      </c>
      <c r="BM21" s="170"/>
      <c r="BN21" s="79"/>
      <c r="BO21" s="79"/>
      <c r="BP21" s="79"/>
      <c r="BQ21" s="79"/>
      <c r="BR21" s="79"/>
      <c r="BS21" s="79"/>
      <c r="BT21" s="79"/>
      <c r="BU21" s="170" t="s">
        <v>10</v>
      </c>
      <c r="BV21" s="170"/>
      <c r="BW21" s="79"/>
      <c r="BX21" s="79"/>
      <c r="BY21" s="79"/>
      <c r="BZ21" s="79"/>
      <c r="CA21" s="79"/>
      <c r="CB21" s="80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 t="s">
        <v>33</v>
      </c>
      <c r="CT21" s="127" t="s">
        <v>136</v>
      </c>
      <c r="CU21" s="127"/>
      <c r="CV21" s="117">
        <f>CP13*DL18-CW13*DR18</f>
        <v>0.9649732492815738</v>
      </c>
      <c r="CW21" s="117"/>
      <c r="CX21" s="117"/>
      <c r="CY21" s="117"/>
      <c r="CZ21" s="117"/>
      <c r="DA21" s="128" t="s">
        <v>115</v>
      </c>
      <c r="DB21" s="128"/>
      <c r="DC21" s="117">
        <f>(CW13*DL18+CP13*DR18)</f>
        <v>-0.17534604816792093</v>
      </c>
      <c r="DD21" s="117"/>
      <c r="DE21" s="117"/>
      <c r="DF21" s="117"/>
      <c r="DG21" s="117"/>
      <c r="DH21" s="16" t="s">
        <v>137</v>
      </c>
      <c r="DI21" s="16" t="s">
        <v>33</v>
      </c>
      <c r="DJ21" s="127" t="s">
        <v>136</v>
      </c>
      <c r="DK21" s="127"/>
      <c r="DL21" s="16" t="s">
        <v>163</v>
      </c>
      <c r="DM21" s="16"/>
      <c r="DN21" s="17" t="s">
        <v>30</v>
      </c>
      <c r="DO21" s="17" t="s">
        <v>114</v>
      </c>
      <c r="DP21" s="17" t="s">
        <v>164</v>
      </c>
      <c r="DQ21" s="17"/>
      <c r="DR21" s="17" t="s">
        <v>137</v>
      </c>
      <c r="EI21" s="104"/>
      <c r="EJ21" s="104"/>
      <c r="EK21" s="104"/>
      <c r="EL21" s="112" t="s">
        <v>181</v>
      </c>
      <c r="EM21" s="112"/>
      <c r="EN21" s="112"/>
      <c r="EO21" s="112"/>
      <c r="EP21" s="112"/>
      <c r="EQ21" s="112"/>
      <c r="ER21" s="112"/>
      <c r="ES21" s="112"/>
      <c r="ET21" s="112"/>
      <c r="EU21" s="112"/>
      <c r="EV21" s="112"/>
      <c r="EW21" s="112"/>
      <c r="EX21" s="112"/>
      <c r="EY21" s="112"/>
      <c r="EZ21" s="112"/>
      <c r="FA21" s="112"/>
      <c r="FB21" s="112"/>
      <c r="FC21" s="112"/>
      <c r="FD21" s="112"/>
      <c r="FE21" s="112"/>
      <c r="FF21" s="112"/>
      <c r="FG21" s="112"/>
      <c r="FH21" s="112"/>
      <c r="FI21" s="112"/>
      <c r="FJ21" s="112"/>
      <c r="FK21" s="112"/>
      <c r="FL21" s="112"/>
      <c r="FM21" s="112"/>
      <c r="FO21" s="43" t="s">
        <v>291</v>
      </c>
      <c r="FP21" s="30">
        <f>FP9/FP15</f>
        <v>0.125</v>
      </c>
      <c r="FQ21" s="51" t="s">
        <v>69</v>
      </c>
      <c r="FU21" s="98"/>
      <c r="FV21" s="98"/>
      <c r="FW21" s="98"/>
      <c r="FX21" s="98"/>
      <c r="HH21" s="30" t="s">
        <v>314</v>
      </c>
      <c r="HI21" s="30" t="s">
        <v>331</v>
      </c>
      <c r="HR21" s="32"/>
      <c r="HS21" s="32"/>
      <c r="HT21" s="32"/>
      <c r="HU21" s="32"/>
      <c r="HV21" s="32"/>
      <c r="HW21" s="32"/>
      <c r="HX21" s="32"/>
      <c r="HY21" s="32"/>
      <c r="HZ21" s="32"/>
      <c r="IA21" s="32"/>
      <c r="IB21" s="32"/>
      <c r="IC21" s="32"/>
      <c r="ID21" s="32"/>
      <c r="IE21" s="32"/>
      <c r="IF21" s="37"/>
      <c r="IG21" s="32"/>
    </row>
    <row r="22" spans="1:244" ht="15" customHeight="1">
      <c r="A22" s="79"/>
      <c r="B22" s="79"/>
      <c r="C22" s="79"/>
      <c r="D22" s="79"/>
      <c r="E22" s="79"/>
      <c r="F22" s="79"/>
      <c r="G22" s="79"/>
      <c r="H22" s="79"/>
      <c r="I22" s="79"/>
      <c r="J22" s="79"/>
      <c r="K22" s="79"/>
      <c r="L22" s="79"/>
      <c r="M22" s="79"/>
      <c r="N22" s="79"/>
      <c r="O22" s="79"/>
      <c r="P22" s="79"/>
      <c r="Q22" s="79"/>
      <c r="R22" s="79"/>
      <c r="S22" s="79"/>
      <c r="T22" s="79"/>
      <c r="U22" s="79"/>
      <c r="V22" s="79"/>
      <c r="W22" s="79"/>
      <c r="X22" s="79"/>
      <c r="Y22" s="79"/>
      <c r="Z22" s="79"/>
      <c r="AA22" s="79"/>
      <c r="AB22" s="79"/>
      <c r="AC22" s="79"/>
      <c r="AD22" s="79"/>
      <c r="AE22" s="79"/>
      <c r="AF22" s="79"/>
      <c r="AG22" s="79"/>
      <c r="AH22" s="79"/>
      <c r="AI22" s="79"/>
      <c r="AJ22" s="79"/>
      <c r="AK22" s="79"/>
      <c r="AL22" s="79"/>
      <c r="AM22" s="79"/>
      <c r="AN22" s="79"/>
      <c r="AO22" s="79"/>
      <c r="AP22" s="79"/>
      <c r="AQ22" s="79"/>
      <c r="AR22" s="79"/>
      <c r="AS22" s="79"/>
      <c r="AT22" s="79"/>
      <c r="AU22" s="79"/>
      <c r="AV22" s="79"/>
      <c r="AW22" s="79"/>
      <c r="AX22" s="79"/>
      <c r="AY22" s="79"/>
      <c r="AZ22" s="79"/>
      <c r="BA22" s="79"/>
      <c r="BB22" s="79"/>
      <c r="BC22" s="79"/>
      <c r="BD22" s="79"/>
      <c r="BE22" s="79"/>
      <c r="BF22" s="79"/>
      <c r="BG22" s="79"/>
      <c r="BH22" s="79"/>
      <c r="BI22" s="79"/>
      <c r="BJ22" s="79"/>
      <c r="BK22" s="79"/>
      <c r="BL22" s="79"/>
      <c r="BM22" s="79"/>
      <c r="BN22" s="79"/>
      <c r="BO22" s="79"/>
      <c r="BP22" s="79"/>
      <c r="BQ22" s="79"/>
      <c r="BR22" s="79"/>
      <c r="BS22" s="79"/>
      <c r="BT22" s="79"/>
      <c r="BU22" s="79"/>
      <c r="BV22" s="79"/>
      <c r="BW22" s="79"/>
      <c r="BX22" s="79"/>
      <c r="BY22" s="79"/>
      <c r="BZ22" s="79"/>
      <c r="CA22" s="79"/>
      <c r="CB22" s="80"/>
      <c r="CC22" s="2"/>
      <c r="CD22" s="2"/>
      <c r="CE22" s="2"/>
      <c r="CF22" s="2"/>
      <c r="CG22" s="2"/>
      <c r="CH22" s="2"/>
      <c r="CI22" s="2"/>
      <c r="CJ22" s="2"/>
      <c r="CK22" s="104" t="s">
        <v>84</v>
      </c>
      <c r="CL22" s="104"/>
      <c r="CM22" s="104" t="s">
        <v>85</v>
      </c>
      <c r="CN22" s="104"/>
      <c r="CO22" s="105" t="s">
        <v>10</v>
      </c>
      <c r="CP22" s="105"/>
      <c r="CQ22" s="105"/>
      <c r="CR22" s="104" t="s">
        <v>33</v>
      </c>
      <c r="CS22" s="110" t="s">
        <v>165</v>
      </c>
      <c r="CT22" s="110"/>
      <c r="CU22" s="105" t="s">
        <v>10</v>
      </c>
      <c r="CV22" s="105"/>
      <c r="CW22" s="105"/>
      <c r="CX22" s="105"/>
      <c r="CY22" s="105"/>
      <c r="CZ22" s="104" t="s">
        <v>33</v>
      </c>
      <c r="DA22" s="110" t="s">
        <v>165</v>
      </c>
      <c r="DB22" s="110"/>
      <c r="DC22" s="105" t="s">
        <v>171</v>
      </c>
      <c r="DD22" s="105"/>
      <c r="DE22" s="105"/>
      <c r="DF22" s="105"/>
      <c r="DG22" s="105"/>
      <c r="DH22" s="105"/>
      <c r="DI22" s="105"/>
      <c r="DJ22" s="105"/>
      <c r="DK22" s="105"/>
      <c r="DL22" s="105"/>
      <c r="DM22" s="104" t="s">
        <v>33</v>
      </c>
      <c r="DN22" s="110" t="s">
        <v>166</v>
      </c>
      <c r="DO22" s="110"/>
      <c r="DP22" s="105" t="s">
        <v>168</v>
      </c>
      <c r="DQ22" s="105"/>
      <c r="DR22" s="105"/>
      <c r="DS22" s="105"/>
      <c r="DT22" s="105"/>
      <c r="DU22" s="105"/>
      <c r="DV22" s="105"/>
      <c r="DW22" s="107" t="s">
        <v>115</v>
      </c>
      <c r="DX22" s="104"/>
      <c r="DY22" s="105" t="s">
        <v>172</v>
      </c>
      <c r="DZ22" s="105"/>
      <c r="EA22" s="105"/>
      <c r="EB22" s="105"/>
      <c r="EC22" s="105"/>
      <c r="ED22" s="105"/>
      <c r="EE22" s="105"/>
      <c r="EF22" s="104" t="s">
        <v>137</v>
      </c>
      <c r="EJ22" s="104" t="s">
        <v>33</v>
      </c>
      <c r="EK22" s="104" t="s">
        <v>144</v>
      </c>
      <c r="EL22" s="104"/>
      <c r="EM22" s="106">
        <f>BH48*(CX30+DN34+BH48)-BM48*(DC30+DS34+BM48)</f>
        <v>363594.5822328591</v>
      </c>
      <c r="EN22" s="106"/>
      <c r="EO22" s="106"/>
      <c r="EP22" s="106"/>
      <c r="EQ22" s="106"/>
      <c r="ER22" s="3" t="s">
        <v>115</v>
      </c>
      <c r="ET22" s="106">
        <f>BM48*(CX30+DN34+BH48)-BH48*(DC30+DS34+BM48)</f>
        <v>-32868.020601494078</v>
      </c>
      <c r="EU22" s="106"/>
      <c r="EV22" s="106"/>
      <c r="EW22" s="106"/>
      <c r="EX22" s="110" t="s">
        <v>137</v>
      </c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43"/>
      <c r="FU22" s="98"/>
      <c r="FV22" s="98"/>
      <c r="FW22" s="98"/>
      <c r="FX22" s="98"/>
      <c r="HS22" s="44" t="s">
        <v>235</v>
      </c>
      <c r="HT22" s="44"/>
      <c r="HU22" s="44"/>
      <c r="HY22" s="44" t="s">
        <v>339</v>
      </c>
    </row>
    <row r="23" spans="1:244" ht="15" customHeight="1">
      <c r="A23" s="79"/>
      <c r="B23" s="79"/>
      <c r="C23" s="79"/>
      <c r="D23" s="79"/>
      <c r="E23" s="79"/>
      <c r="F23" s="79"/>
      <c r="G23" s="79"/>
      <c r="H23" s="79"/>
      <c r="I23" s="79"/>
      <c r="J23" s="79"/>
      <c r="K23" s="79"/>
      <c r="L23" s="79"/>
      <c r="M23" s="79"/>
      <c r="N23" s="79"/>
      <c r="O23" s="79"/>
      <c r="P23" s="79"/>
      <c r="Q23" s="79"/>
      <c r="R23" s="79"/>
      <c r="S23" s="79"/>
      <c r="T23" s="79"/>
      <c r="U23" s="79"/>
      <c r="V23" s="79"/>
      <c r="W23" s="79"/>
      <c r="X23" s="79"/>
      <c r="Y23" s="79"/>
      <c r="Z23" s="79"/>
      <c r="AA23" s="79"/>
      <c r="AB23" s="79"/>
      <c r="AC23" s="79"/>
      <c r="AD23" s="79"/>
      <c r="AE23" s="79"/>
      <c r="AF23" s="79"/>
      <c r="AG23" s="79"/>
      <c r="AH23" s="79"/>
      <c r="AI23" s="79"/>
      <c r="AJ23" s="79"/>
      <c r="AK23" s="79"/>
      <c r="AL23" s="79"/>
      <c r="AM23" s="79"/>
      <c r="AN23" s="79"/>
      <c r="AO23" s="79"/>
      <c r="AP23" s="79"/>
      <c r="AQ23" s="79"/>
      <c r="AR23" s="79"/>
      <c r="AS23" s="79"/>
      <c r="AT23" s="79"/>
      <c r="AU23" s="79"/>
      <c r="AV23" s="79"/>
      <c r="AW23" s="79"/>
      <c r="AX23" s="79"/>
      <c r="AY23" s="79"/>
      <c r="AZ23" s="79"/>
      <c r="BA23" s="79"/>
      <c r="BB23" s="79"/>
      <c r="BC23" s="79"/>
      <c r="BD23" s="79"/>
      <c r="BE23" s="79"/>
      <c r="BF23" s="79"/>
      <c r="BG23" s="79"/>
      <c r="BH23" s="79"/>
      <c r="BI23" s="79"/>
      <c r="BJ23" s="79"/>
      <c r="BK23" s="79"/>
      <c r="BL23" s="79"/>
      <c r="BM23" s="79"/>
      <c r="BN23" s="79"/>
      <c r="BO23" s="79"/>
      <c r="BP23" s="79"/>
      <c r="BQ23" s="79"/>
      <c r="BR23" s="79"/>
      <c r="BS23" s="79"/>
      <c r="BT23" s="79"/>
      <c r="BU23" s="79"/>
      <c r="BV23" s="79"/>
      <c r="BW23" s="79"/>
      <c r="BX23" s="79"/>
      <c r="BY23" s="79"/>
      <c r="BZ23" s="79"/>
      <c r="CA23" s="79"/>
      <c r="CB23" s="80"/>
      <c r="CC23" s="2"/>
      <c r="CD23" s="2"/>
      <c r="CE23" s="2"/>
      <c r="CF23" s="2"/>
      <c r="CG23" s="2"/>
      <c r="CH23" s="2"/>
      <c r="CI23" s="2"/>
      <c r="CJ23" s="2"/>
      <c r="CK23" s="104"/>
      <c r="CL23" s="104"/>
      <c r="CM23" s="104"/>
      <c r="CN23" s="104"/>
      <c r="CO23" s="111" t="s">
        <v>86</v>
      </c>
      <c r="CP23" s="111"/>
      <c r="CQ23" s="111"/>
      <c r="CR23" s="104"/>
      <c r="CS23" s="110"/>
      <c r="CT23" s="110"/>
      <c r="CU23" s="110" t="s">
        <v>169</v>
      </c>
      <c r="CV23" s="110"/>
      <c r="CW23" s="110"/>
      <c r="CX23" s="110"/>
      <c r="CY23" s="110"/>
      <c r="CZ23" s="104"/>
      <c r="DA23" s="110"/>
      <c r="DB23" s="110"/>
      <c r="DC23" s="110" t="s">
        <v>170</v>
      </c>
      <c r="DD23" s="110"/>
      <c r="DE23" s="110"/>
      <c r="DF23" s="110"/>
      <c r="DG23" s="110"/>
      <c r="DH23" s="110"/>
      <c r="DI23" s="110"/>
      <c r="DJ23" s="110"/>
      <c r="DK23" s="110"/>
      <c r="DL23" s="110"/>
      <c r="DM23" s="104"/>
      <c r="DN23" s="110"/>
      <c r="DO23" s="110"/>
      <c r="DP23" s="104" t="s">
        <v>167</v>
      </c>
      <c r="DQ23" s="104"/>
      <c r="DR23" s="104"/>
      <c r="DS23" s="104"/>
      <c r="DT23" s="104"/>
      <c r="DU23" s="104"/>
      <c r="DV23" s="104"/>
      <c r="DW23" s="104"/>
      <c r="DX23" s="104"/>
      <c r="DY23" s="104" t="s">
        <v>167</v>
      </c>
      <c r="DZ23" s="104"/>
      <c r="EA23" s="104"/>
      <c r="EB23" s="104"/>
      <c r="EC23" s="104"/>
      <c r="ED23" s="104"/>
      <c r="EE23" s="104"/>
      <c r="EF23" s="104"/>
      <c r="EJ23" s="104"/>
      <c r="EK23" s="104"/>
      <c r="EL23" s="104"/>
      <c r="EM23" s="112">
        <f>(CX30+DN34+BH48)^2+(DC30+DS34+BM48)^2</f>
        <v>369923.31149854069</v>
      </c>
      <c r="EN23" s="112"/>
      <c r="EO23" s="112"/>
      <c r="EP23" s="112"/>
      <c r="EQ23" s="112"/>
      <c r="ER23" s="112"/>
      <c r="ES23" s="112"/>
      <c r="ET23" s="112"/>
      <c r="EU23" s="112"/>
      <c r="EV23" s="112"/>
      <c r="EW23" s="112"/>
      <c r="EX23" s="110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43" t="s">
        <v>49</v>
      </c>
      <c r="FP23" s="12">
        <v>10</v>
      </c>
      <c r="FQ23" s="30" t="s">
        <v>50</v>
      </c>
      <c r="FU23" s="98"/>
      <c r="FV23" s="98"/>
      <c r="FW23" s="98"/>
      <c r="FX23" s="98"/>
      <c r="GK23" s="50"/>
      <c r="GL23" s="50"/>
      <c r="GM23" s="50"/>
      <c r="GN23" s="50"/>
      <c r="GO23" s="50"/>
      <c r="GP23" s="50"/>
      <c r="GQ23" s="50"/>
      <c r="GR23" s="50"/>
      <c r="GS23" s="50"/>
      <c r="GX23" s="44"/>
      <c r="GY23" s="44"/>
      <c r="GZ23" s="44"/>
      <c r="HA23" s="44"/>
      <c r="HB23" s="44"/>
      <c r="HC23" s="44"/>
      <c r="HD23" s="44"/>
      <c r="HE23" s="44"/>
      <c r="HF23" s="44"/>
      <c r="HG23" s="44"/>
      <c r="HH23" s="44"/>
      <c r="HI23" s="50"/>
      <c r="HJ23" s="50"/>
      <c r="HK23" s="50"/>
      <c r="HL23" s="50"/>
      <c r="HM23" s="50"/>
      <c r="HN23" s="50"/>
      <c r="HQ23" s="44" t="s">
        <v>233</v>
      </c>
      <c r="HR23" s="44" t="s">
        <v>51</v>
      </c>
      <c r="HS23" s="44" t="s">
        <v>234</v>
      </c>
      <c r="HT23" s="44"/>
      <c r="HU23" s="44"/>
      <c r="HV23" s="44">
        <f>HT56</f>
        <v>-19.912636923624426</v>
      </c>
      <c r="HW23" s="44">
        <f>HS56</f>
        <v>-19.912637365844414</v>
      </c>
      <c r="HX23" s="44"/>
      <c r="HY23" s="30">
        <f>HV23</f>
        <v>-19.912636923624426</v>
      </c>
      <c r="HZ23" s="44"/>
      <c r="IA23" s="44"/>
      <c r="IB23" s="44"/>
      <c r="IC23" s="44"/>
      <c r="ID23" s="44"/>
      <c r="IE23" s="44"/>
      <c r="IF23" s="44"/>
      <c r="IG23" s="44"/>
      <c r="IH23" s="44"/>
      <c r="II23" s="44"/>
      <c r="IJ23" s="44"/>
    </row>
    <row r="24" spans="1:244" ht="15" customHeight="1">
      <c r="A24" s="88"/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79"/>
      <c r="Q24" s="88"/>
      <c r="R24" s="88"/>
      <c r="S24" s="88"/>
      <c r="T24" s="88"/>
      <c r="U24" s="88"/>
      <c r="V24" s="88"/>
      <c r="W24" s="88"/>
      <c r="X24" s="88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79"/>
      <c r="AT24" s="79"/>
      <c r="AU24" s="79"/>
      <c r="AV24" s="79"/>
      <c r="AW24" s="79"/>
      <c r="AX24" s="79"/>
      <c r="AY24" s="79"/>
      <c r="AZ24" s="79"/>
      <c r="BA24" s="79"/>
      <c r="BB24" s="79"/>
      <c r="BC24" s="79"/>
      <c r="BD24" s="79"/>
      <c r="BE24" s="79"/>
      <c r="BF24" s="79"/>
      <c r="BG24" s="79"/>
      <c r="BH24" s="79"/>
      <c r="BI24" s="79"/>
      <c r="BJ24" s="79"/>
      <c r="BK24" s="79"/>
      <c r="BL24" s="79"/>
      <c r="BM24" s="79"/>
      <c r="BN24" s="79"/>
      <c r="BO24" s="79"/>
      <c r="BP24" s="79"/>
      <c r="BQ24" s="79"/>
      <c r="BR24" s="79"/>
      <c r="BS24" s="79"/>
      <c r="BT24" s="79"/>
      <c r="BU24" s="79"/>
      <c r="BV24" s="79"/>
      <c r="BW24" s="79"/>
      <c r="BX24" s="79"/>
      <c r="BY24" s="79"/>
      <c r="BZ24" s="79"/>
      <c r="CA24" s="79"/>
      <c r="CB24" s="80"/>
      <c r="CC24" s="2"/>
      <c r="CD24" s="2"/>
      <c r="CE24" s="2"/>
      <c r="CF24" s="2"/>
      <c r="CG24" s="2"/>
      <c r="CH24" s="2"/>
      <c r="CI24" s="2"/>
      <c r="CJ24" s="2"/>
      <c r="CR24" s="104" t="s">
        <v>33</v>
      </c>
      <c r="CS24" s="110" t="s">
        <v>166</v>
      </c>
      <c r="CT24" s="110"/>
      <c r="CU24" s="105">
        <f>(AJ34*(DN34+AJ34))</f>
        <v>360001.99858379579</v>
      </c>
      <c r="CV24" s="105"/>
      <c r="CW24" s="105"/>
      <c r="CX24" s="105"/>
      <c r="CY24" s="107" t="s">
        <v>115</v>
      </c>
      <c r="CZ24" s="104"/>
      <c r="DA24" s="105">
        <f>(-AJ34*DS34)</f>
        <v>-848.22530741711626</v>
      </c>
      <c r="DB24" s="105"/>
      <c r="DC24" s="105"/>
      <c r="DD24" s="105"/>
      <c r="DE24" s="104" t="s">
        <v>137</v>
      </c>
      <c r="DF24" s="104" t="s">
        <v>33</v>
      </c>
      <c r="DG24" s="130" t="s">
        <v>166</v>
      </c>
      <c r="DH24" s="130"/>
      <c r="DI24" s="129">
        <f>CU24/CU25</f>
        <v>0.99998889694160986</v>
      </c>
      <c r="DJ24" s="129"/>
      <c r="DK24" s="129"/>
      <c r="DL24" s="129"/>
      <c r="DM24" s="131" t="s">
        <v>115</v>
      </c>
      <c r="DN24" s="129"/>
      <c r="DO24" s="129">
        <f>DA24/DA25</f>
        <v>-2.3561421682623384E-3</v>
      </c>
      <c r="DP24" s="129"/>
      <c r="DQ24" s="129"/>
      <c r="DR24" s="129"/>
      <c r="DS24" s="129" t="s">
        <v>137</v>
      </c>
      <c r="DT24" s="129" t="s">
        <v>33</v>
      </c>
      <c r="DU24" s="130" t="s">
        <v>166</v>
      </c>
      <c r="DV24" s="130"/>
      <c r="DW24" s="129" t="s">
        <v>173</v>
      </c>
      <c r="DX24" s="129"/>
      <c r="DY24" s="131" t="s">
        <v>115</v>
      </c>
      <c r="DZ24" s="129"/>
      <c r="EA24" s="129" t="s">
        <v>174</v>
      </c>
      <c r="EB24" s="129"/>
      <c r="EC24" s="129" t="s">
        <v>137</v>
      </c>
      <c r="EK24" s="104" t="s">
        <v>33</v>
      </c>
      <c r="EL24" s="104" t="s">
        <v>144</v>
      </c>
      <c r="EM24" s="104"/>
      <c r="EN24" s="135">
        <f>EM22/EM23</f>
        <v>0.98289178035294877</v>
      </c>
      <c r="EO24" s="135"/>
      <c r="EP24" s="135"/>
      <c r="EQ24" s="135"/>
      <c r="ER24" s="104" t="s">
        <v>30</v>
      </c>
      <c r="ES24" s="104" t="s">
        <v>114</v>
      </c>
      <c r="ET24" s="108">
        <f>ET22/EM23</f>
        <v>-8.8850903903155989E-2</v>
      </c>
      <c r="EU24" s="108"/>
      <c r="EV24" s="108"/>
      <c r="EW24" s="108"/>
      <c r="EX24" s="104" t="s">
        <v>137</v>
      </c>
      <c r="EY24" s="104" t="s">
        <v>33</v>
      </c>
      <c r="EZ24" s="104" t="s">
        <v>183</v>
      </c>
      <c r="FA24" s="104"/>
      <c r="FB24" s="104"/>
      <c r="FC24" s="104"/>
      <c r="FD24" s="104"/>
      <c r="FE24" s="104"/>
      <c r="FF24" s="104"/>
      <c r="FO24" s="43" t="s">
        <v>51</v>
      </c>
      <c r="FP24" s="27">
        <f>2*PI()*FP23</f>
        <v>62.831853071795862</v>
      </c>
      <c r="FV24" s="102" t="s">
        <v>272</v>
      </c>
      <c r="FW24" s="102"/>
      <c r="FX24" s="102"/>
      <c r="FY24" s="102" t="s">
        <v>273</v>
      </c>
      <c r="FZ24" s="102"/>
      <c r="GA24" s="102"/>
      <c r="GB24" s="102" t="s">
        <v>299</v>
      </c>
      <c r="GC24" s="102"/>
      <c r="GD24" s="102"/>
      <c r="GE24" s="102" t="s">
        <v>300</v>
      </c>
      <c r="GF24" s="102"/>
      <c r="GG24" s="102"/>
      <c r="GH24" s="102" t="s">
        <v>274</v>
      </c>
      <c r="GI24" s="102"/>
      <c r="GJ24" s="102"/>
      <c r="GK24" s="99" t="s">
        <v>294</v>
      </c>
      <c r="GL24" s="100"/>
      <c r="GM24" s="101"/>
      <c r="GN24" s="99" t="s">
        <v>295</v>
      </c>
      <c r="GO24" s="100"/>
      <c r="GP24" s="101"/>
      <c r="GQ24" s="99" t="s">
        <v>303</v>
      </c>
      <c r="GR24" s="100"/>
      <c r="GS24" s="101"/>
      <c r="GT24" s="134" t="s">
        <v>275</v>
      </c>
      <c r="GU24" s="134"/>
      <c r="GV24" s="134"/>
      <c r="GW24" s="102" t="s">
        <v>77</v>
      </c>
      <c r="GX24" s="102"/>
      <c r="GY24" s="102"/>
      <c r="GZ24" s="102" t="s">
        <v>279</v>
      </c>
      <c r="HA24" s="102"/>
      <c r="HB24" s="102"/>
      <c r="HC24" s="103" t="s">
        <v>218</v>
      </c>
      <c r="HD24" s="103"/>
      <c r="HE24" s="103"/>
      <c r="HF24" s="103" t="s">
        <v>307</v>
      </c>
      <c r="HG24" s="103"/>
      <c r="HH24" s="103"/>
      <c r="HI24" s="103" t="s">
        <v>220</v>
      </c>
      <c r="HJ24" s="103"/>
      <c r="HK24" s="103"/>
      <c r="HL24" s="103" t="s">
        <v>308</v>
      </c>
      <c r="HM24" s="103"/>
      <c r="HN24" s="103"/>
      <c r="HO24" s="46" t="s">
        <v>73</v>
      </c>
      <c r="HP24" s="46"/>
      <c r="HQ24" s="30">
        <f>FP23</f>
        <v>10</v>
      </c>
      <c r="HR24" s="27">
        <f>FP24</f>
        <v>62.831853071795862</v>
      </c>
      <c r="HS24" s="30">
        <f>20*LOG(SQRT(((1+($FP$8*10^(-6)*HR24)^2)/((1+($FP$7*10^(-6)*HR24)^2)))))+19.912637</f>
        <v>19.744050705335432</v>
      </c>
      <c r="HT24" s="57" t="s">
        <v>326</v>
      </c>
      <c r="HV24" s="30" t="s">
        <v>335</v>
      </c>
      <c r="HW24" s="30" t="s">
        <v>335</v>
      </c>
    </row>
    <row r="25" spans="1:244" ht="15" customHeight="1">
      <c r="A25" s="88"/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5"/>
      <c r="Q25" s="88"/>
      <c r="R25" s="88"/>
      <c r="S25" s="88"/>
      <c r="T25" s="88"/>
      <c r="U25" s="88"/>
      <c r="V25" s="88"/>
      <c r="W25" s="88"/>
      <c r="X25" s="88"/>
      <c r="Y25" s="79"/>
      <c r="Z25" s="79"/>
      <c r="AA25" s="79"/>
      <c r="AB25" s="79"/>
      <c r="AC25" s="79"/>
      <c r="AD25" s="79"/>
      <c r="AE25" s="79"/>
      <c r="AF25" s="79"/>
      <c r="AG25" s="79"/>
      <c r="AH25" s="79"/>
      <c r="AI25" s="79"/>
      <c r="AJ25" s="79"/>
      <c r="AK25" s="79"/>
      <c r="AL25" s="79"/>
      <c r="AM25" s="79"/>
      <c r="AN25" s="79"/>
      <c r="AO25" s="79"/>
      <c r="AP25" s="79"/>
      <c r="AQ25" s="79"/>
      <c r="AR25" s="79"/>
      <c r="AS25" s="79"/>
      <c r="AT25" s="79"/>
      <c r="AU25" s="79"/>
      <c r="AV25" s="79"/>
      <c r="AW25" s="79"/>
      <c r="AX25" s="79"/>
      <c r="AY25" s="79"/>
      <c r="AZ25" s="79"/>
      <c r="BA25" s="79"/>
      <c r="BB25" s="79"/>
      <c r="BC25" s="79"/>
      <c r="BD25" s="79"/>
      <c r="BE25" s="79"/>
      <c r="BF25" s="79"/>
      <c r="BG25" s="79"/>
      <c r="BH25" s="79"/>
      <c r="BI25" s="79"/>
      <c r="BJ25" s="79"/>
      <c r="BK25" s="79"/>
      <c r="BL25" s="79"/>
      <c r="BM25" s="79"/>
      <c r="BN25" s="79"/>
      <c r="BO25" s="79"/>
      <c r="BP25" s="79"/>
      <c r="BQ25" s="79"/>
      <c r="BR25" s="79"/>
      <c r="BS25" s="79"/>
      <c r="BT25" s="79"/>
      <c r="BU25" s="79"/>
      <c r="BV25" s="79"/>
      <c r="BW25" s="79"/>
      <c r="BX25" s="79"/>
      <c r="BY25" s="79"/>
      <c r="BZ25" s="79"/>
      <c r="CA25" s="79"/>
      <c r="CB25" s="80"/>
      <c r="CC25" s="2"/>
      <c r="CD25" s="2"/>
      <c r="CE25" s="2"/>
      <c r="CF25" s="2"/>
      <c r="CG25" s="2"/>
      <c r="CH25" s="2"/>
      <c r="CI25" s="2"/>
      <c r="CJ25" s="2"/>
      <c r="CR25" s="104"/>
      <c r="CS25" s="110"/>
      <c r="CT25" s="110"/>
      <c r="CU25" s="111">
        <f>((DN34+AJ34)^2+DS34^2)</f>
        <v>360005.99575138744</v>
      </c>
      <c r="CV25" s="111"/>
      <c r="CW25" s="111"/>
      <c r="CX25" s="111"/>
      <c r="CY25" s="104"/>
      <c r="CZ25" s="104"/>
      <c r="DA25" s="104">
        <f>CU25</f>
        <v>360005.99575138744</v>
      </c>
      <c r="DB25" s="104"/>
      <c r="DC25" s="104"/>
      <c r="DD25" s="104"/>
      <c r="DE25" s="104"/>
      <c r="DF25" s="104"/>
      <c r="DG25" s="130"/>
      <c r="DH25" s="130"/>
      <c r="DI25" s="129"/>
      <c r="DJ25" s="129"/>
      <c r="DK25" s="129"/>
      <c r="DL25" s="129"/>
      <c r="DM25" s="129"/>
      <c r="DN25" s="129"/>
      <c r="DO25" s="129"/>
      <c r="DP25" s="129"/>
      <c r="DQ25" s="129"/>
      <c r="DR25" s="129"/>
      <c r="DS25" s="129"/>
      <c r="DT25" s="129"/>
      <c r="DU25" s="130"/>
      <c r="DV25" s="130"/>
      <c r="DW25" s="129"/>
      <c r="DX25" s="129"/>
      <c r="DY25" s="129"/>
      <c r="DZ25" s="129"/>
      <c r="EA25" s="129"/>
      <c r="EB25" s="129"/>
      <c r="EC25" s="129"/>
      <c r="EK25" s="104"/>
      <c r="EL25" s="104"/>
      <c r="EM25" s="104"/>
      <c r="EN25" s="135"/>
      <c r="EO25" s="135"/>
      <c r="EP25" s="135"/>
      <c r="EQ25" s="135"/>
      <c r="ER25" s="104"/>
      <c r="ES25" s="104"/>
      <c r="ET25" s="108"/>
      <c r="EU25" s="108"/>
      <c r="EV25" s="108"/>
      <c r="EW25" s="108"/>
      <c r="EX25" s="104"/>
      <c r="EY25" s="104"/>
      <c r="EZ25" s="104"/>
      <c r="FA25" s="104"/>
      <c r="FB25" s="104"/>
      <c r="FC25" s="104"/>
      <c r="FD25" s="104"/>
      <c r="FE25" s="104"/>
      <c r="FF25" s="104"/>
      <c r="FO25" s="43"/>
      <c r="FT25" s="43" t="s">
        <v>49</v>
      </c>
      <c r="FU25" s="43" t="s">
        <v>51</v>
      </c>
      <c r="FV25" s="49" t="s">
        <v>276</v>
      </c>
      <c r="FW25" s="49" t="s">
        <v>277</v>
      </c>
      <c r="FX25" s="49" t="s">
        <v>278</v>
      </c>
      <c r="FY25" s="49" t="s">
        <v>276</v>
      </c>
      <c r="FZ25" s="49" t="s">
        <v>277</v>
      </c>
      <c r="GA25" s="49" t="s">
        <v>278</v>
      </c>
      <c r="GB25" s="53" t="s">
        <v>276</v>
      </c>
      <c r="GC25" s="53" t="s">
        <v>277</v>
      </c>
      <c r="GD25" s="53" t="s">
        <v>278</v>
      </c>
      <c r="GE25" s="53" t="s">
        <v>276</v>
      </c>
      <c r="GF25" s="53" t="s">
        <v>277</v>
      </c>
      <c r="GG25" s="53" t="s">
        <v>278</v>
      </c>
      <c r="GH25" s="49" t="s">
        <v>276</v>
      </c>
      <c r="GI25" s="49" t="s">
        <v>277</v>
      </c>
      <c r="GJ25" s="49" t="s">
        <v>278</v>
      </c>
      <c r="GK25" s="54" t="s">
        <v>276</v>
      </c>
      <c r="GL25" s="54" t="s">
        <v>277</v>
      </c>
      <c r="GM25" s="54" t="s">
        <v>278</v>
      </c>
      <c r="GN25" s="54" t="s">
        <v>276</v>
      </c>
      <c r="GO25" s="54" t="s">
        <v>277</v>
      </c>
      <c r="GP25" s="54" t="s">
        <v>278</v>
      </c>
      <c r="GQ25" s="54" t="s">
        <v>276</v>
      </c>
      <c r="GR25" s="54" t="s">
        <v>277</v>
      </c>
      <c r="GS25" s="54" t="s">
        <v>278</v>
      </c>
      <c r="GT25" s="49" t="s">
        <v>276</v>
      </c>
      <c r="GU25" s="49" t="s">
        <v>277</v>
      </c>
      <c r="GV25" s="49" t="s">
        <v>278</v>
      </c>
      <c r="GW25" s="49" t="s">
        <v>276</v>
      </c>
      <c r="GX25" s="49" t="s">
        <v>277</v>
      </c>
      <c r="GY25" s="49" t="s">
        <v>278</v>
      </c>
      <c r="GZ25" s="49" t="s">
        <v>276</v>
      </c>
      <c r="HA25" s="49" t="s">
        <v>277</v>
      </c>
      <c r="HB25" s="49" t="s">
        <v>278</v>
      </c>
      <c r="HC25" s="39" t="s">
        <v>276</v>
      </c>
      <c r="HD25" s="39" t="s">
        <v>277</v>
      </c>
      <c r="HE25" s="39" t="s">
        <v>278</v>
      </c>
      <c r="HF25" s="39" t="s">
        <v>276</v>
      </c>
      <c r="HG25" s="39" t="s">
        <v>277</v>
      </c>
      <c r="HH25" s="39" t="s">
        <v>278</v>
      </c>
      <c r="HI25" s="52" t="s">
        <v>276</v>
      </c>
      <c r="HJ25" s="52" t="s">
        <v>277</v>
      </c>
      <c r="HK25" s="52" t="s">
        <v>278</v>
      </c>
      <c r="HL25" s="52" t="s">
        <v>276</v>
      </c>
      <c r="HM25" s="52" t="s">
        <v>277</v>
      </c>
      <c r="HN25" s="52" t="s">
        <v>278</v>
      </c>
      <c r="HO25" s="46" t="s">
        <v>288</v>
      </c>
      <c r="HP25" s="46" t="s">
        <v>287</v>
      </c>
      <c r="HT25" s="58" t="s">
        <v>336</v>
      </c>
      <c r="HU25" s="58" t="s">
        <v>287</v>
      </c>
      <c r="HV25" s="30" t="s">
        <v>333</v>
      </c>
      <c r="HW25" s="30" t="s">
        <v>334</v>
      </c>
      <c r="HX25" s="30" t="s">
        <v>337</v>
      </c>
      <c r="HY25" s="30" t="s">
        <v>338</v>
      </c>
      <c r="HZ25" s="30" t="s">
        <v>340</v>
      </c>
      <c r="IF25" s="35"/>
    </row>
    <row r="26" spans="1:244" ht="15" customHeight="1" thickBot="1">
      <c r="A26" s="79"/>
      <c r="B26" s="79"/>
      <c r="C26" s="79"/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79"/>
      <c r="T26" s="79"/>
      <c r="U26" s="79"/>
      <c r="V26" s="79"/>
      <c r="W26" s="79"/>
      <c r="X26" s="79"/>
      <c r="Y26" s="79"/>
      <c r="Z26" s="79"/>
      <c r="AA26" s="79"/>
      <c r="AB26" s="79"/>
      <c r="AC26" s="79"/>
      <c r="AD26" s="79"/>
      <c r="AE26" s="79"/>
      <c r="AF26" s="79"/>
      <c r="AG26" s="79"/>
      <c r="AH26" s="79"/>
      <c r="AI26" s="79"/>
      <c r="AJ26" s="79"/>
      <c r="AK26" s="79"/>
      <c r="AL26" s="79"/>
      <c r="AM26" s="79"/>
      <c r="AN26" s="79"/>
      <c r="AO26" s="79"/>
      <c r="AP26" s="79"/>
      <c r="AQ26" s="79"/>
      <c r="AR26" s="79"/>
      <c r="AS26" s="79"/>
      <c r="AT26" s="79"/>
      <c r="AU26" s="79"/>
      <c r="AV26" s="79"/>
      <c r="AW26" s="79"/>
      <c r="AX26" s="79"/>
      <c r="AY26" s="79"/>
      <c r="AZ26" s="79"/>
      <c r="BA26" s="79"/>
      <c r="BB26" s="79"/>
      <c r="BC26" s="79"/>
      <c r="BD26" s="79"/>
      <c r="BE26" s="79"/>
      <c r="BF26" s="79"/>
      <c r="BG26" s="79"/>
      <c r="BH26" s="79"/>
      <c r="BI26" s="79"/>
      <c r="BJ26" s="79"/>
      <c r="BK26" s="79"/>
      <c r="BL26" s="79"/>
      <c r="BM26" s="79"/>
      <c r="BN26" s="79"/>
      <c r="BO26" s="79"/>
      <c r="BP26" s="79"/>
      <c r="BQ26" s="79"/>
      <c r="BR26" s="79"/>
      <c r="BS26" s="79"/>
      <c r="BT26" s="79"/>
      <c r="BU26" s="79"/>
      <c r="BV26" s="79"/>
      <c r="BW26" s="79"/>
      <c r="BX26" s="79"/>
      <c r="BY26" s="79"/>
      <c r="BZ26" s="79"/>
      <c r="CA26" s="79"/>
      <c r="CB26" s="80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1" t="s">
        <v>175</v>
      </c>
      <c r="CS26" s="2"/>
      <c r="CT26" s="2"/>
      <c r="CU26" s="2"/>
      <c r="CV26" s="2"/>
      <c r="CW26" s="2"/>
      <c r="CX26" s="2"/>
      <c r="CY26" s="2"/>
      <c r="CZ26" s="2"/>
      <c r="DA26" s="2"/>
      <c r="DB26" s="2" t="s">
        <v>33</v>
      </c>
      <c r="DC26" s="110" t="s">
        <v>136</v>
      </c>
      <c r="DD26" s="110"/>
      <c r="DE26" s="110" t="s">
        <v>176</v>
      </c>
      <c r="DF26" s="110"/>
      <c r="DG26" s="110"/>
      <c r="DH26" s="110"/>
      <c r="DI26" s="110"/>
      <c r="DJ26" s="110"/>
      <c r="DK26" s="110"/>
      <c r="DL26" s="110"/>
      <c r="DM26" s="110"/>
      <c r="DN26" s="110"/>
      <c r="DO26" s="110"/>
      <c r="DP26" s="110"/>
      <c r="DQ26" s="110"/>
      <c r="DR26" s="110"/>
      <c r="DS26" s="30" t="s">
        <v>137</v>
      </c>
      <c r="FG26" s="34">
        <f>SQRT(FE26^2+FF26^2)</f>
        <v>0</v>
      </c>
      <c r="FO26" s="43" t="s">
        <v>222</v>
      </c>
      <c r="FP26" s="30">
        <f>SQRT(FP48^2+FR48^2)</f>
        <v>599.99680473747446</v>
      </c>
      <c r="FT26" s="29">
        <v>10</v>
      </c>
      <c r="FU26" s="27">
        <f>2*PI()*FT26</f>
        <v>62.831853071795862</v>
      </c>
      <c r="FV26" s="30">
        <f>$AJ$30*(2*$AJ$30*$AJ$35+$AJ$35^2+($FU26*$AJ$37)^2)/((2*$AJ$30+$AJ$35)^2+($FU26*$AJ$37)^2)</f>
        <v>5.8686250797822499</v>
      </c>
      <c r="FW26" s="30">
        <f>2*$AJ$30^2*$FU26*$AJ$37/((2*$AJ$30+$AJ$35)^2+($FU26*$AJ$37)^2)</f>
        <v>53.35279413934331</v>
      </c>
      <c r="FX26" s="34">
        <f>SQRT(FV26^2+FW26^2)</f>
        <v>53.674588054331586</v>
      </c>
      <c r="FY26" s="30">
        <f>$AJ$30^2*(2*$AJ$30+$AJ$35)/((2*$AJ$30+$AJ$35)^2+($FU26*$AJ$37)^2)</f>
        <v>242.52023291465434</v>
      </c>
      <c r="FZ26" s="30">
        <f>-($AJ$30^2*$FU26*$AJ$37)/((2*$AJ$30+$AJ$35)^2+($FU26*$AJ$37)^2)</f>
        <v>-26.676397069671655</v>
      </c>
      <c r="GA26" s="34">
        <f>SQRT(FY26^2+FZ26^2)</f>
        <v>243.98297795870303</v>
      </c>
      <c r="GB26" s="34">
        <f>FP$12*(2*FP$12*FP$17+FP$17^2+(FU26*FP$19)^2)/((2*FP$12+FP$17)^2+(FU26*FP$19)^2)</f>
        <v>3.3309729929631954E-3</v>
      </c>
      <c r="GC26" s="34">
        <f>2*FP$12^2*FU26*FP$19/((2*FP$12+FP$17)^2+(FU26*FP$19)^2)</f>
        <v>1.4137088456951938</v>
      </c>
      <c r="GD26" s="34">
        <f>SQRT(GB26^2+GC26^2)</f>
        <v>1.4137127698998539</v>
      </c>
      <c r="GE26" s="55">
        <f>FP$12^2*(2*FP$12+FP$17)/((2*FP$12+FP$17)^2+(FU26*FP$19)^2)</f>
        <v>299.99833451350349</v>
      </c>
      <c r="GF26" s="55">
        <f>-(FP$12^2*FU26*FP$19)/((2*FP$12+FP$17)^2+(FU26*FP$19)^2)</f>
        <v>-0.70685442284759692</v>
      </c>
      <c r="GG26" s="34">
        <f>SQRT(GE26^2+GF26^2)</f>
        <v>299.99916725559598</v>
      </c>
      <c r="GH26" s="30">
        <f>$FY26+$AJ$32+$AJ$33/(1+($AJ$33*$FU26*$AP$39)^2)</f>
        <v>363.84347213994306</v>
      </c>
      <c r="GI26" s="30">
        <f t="shared" ref="GI26:GI57" si="0">FZ26-($AJ$33^2*$FU26*$AP$39)/(1+($AJ$33*$FU26*$AP$39)^2)</f>
        <v>-3360.1132577890253</v>
      </c>
      <c r="GJ26" s="34">
        <f>SQRT(GH26^2+GI26^2)</f>
        <v>3379.7548990109367</v>
      </c>
      <c r="GK26" s="34">
        <f>GE26</f>
        <v>299.99833451350349</v>
      </c>
      <c r="GL26" s="34">
        <f>GF26-1/(FU26*FP$21*10^(-6))</f>
        <v>-127324.66132793915</v>
      </c>
      <c r="GM26" s="34">
        <f>SQRT(GK26^2+GL26^2)</f>
        <v>127325.01475073589</v>
      </c>
      <c r="GN26" s="55">
        <f t="shared" ref="GN26:GN57" si="1">$FP$15+FP$12*(2*FP$12*FP$17+FP$17^2+(FU26*FP$19)^2)/((2*FP$12+FP$17)^2+(FU26*FP$19)^2)</f>
        <v>600.00333097299301</v>
      </c>
      <c r="GO26" s="55">
        <f t="shared" ref="GO26:GO57" si="2">2*FP$12^2*FU26*FP$19/((2*FP$12+FP$17)^2+(FU26*FP$19)^2)</f>
        <v>1.4137088456951938</v>
      </c>
      <c r="GP26" s="34">
        <f>SQRT(GN26^2+GO26^2)</f>
        <v>600.00499643868591</v>
      </c>
      <c r="GQ26" s="55">
        <f>((GK26*GN26-GL26*GO26)*(GK26+GN26)+(GL26+GO26)*(GL26*GN26+GK26*GO26))/((GK26+GN26)^2+(GL26+GO26)^2)</f>
        <v>599.99666902700687</v>
      </c>
      <c r="GR26" s="55">
        <f>((GL26*GN26+GK26*GO26)*(GK26+GN26)-(GL26+GO26)*(GK26*GN26-GL26*GO26))/((GK26+GN26)^2+(GL26+GO26)^2)</f>
        <v>-1.4137088456951923</v>
      </c>
      <c r="GS26" s="34">
        <f>SQRT(GQ26^2+GR26^2)</f>
        <v>599.99833451119184</v>
      </c>
      <c r="GT26" s="56">
        <f>FV26+GB26+GQ26</f>
        <v>605.86862507978208</v>
      </c>
      <c r="GU26" s="56">
        <f>FW26+GC26+GR26</f>
        <v>53.352794139343317</v>
      </c>
      <c r="GV26" s="34">
        <f>SQRT(GT26^2+GU26^2)</f>
        <v>608.21321220320488</v>
      </c>
      <c r="GW26" s="30">
        <f>(($GH26*$GT26-$GI26*$GU26)*($GH26+$GT26)+($GI26+$GU26)*($GI26*$GT26+$GH26*$GU26))/(($GH26+$GT26)^2+($GI26+$GU26)^2)</f>
        <v>594.12817965621491</v>
      </c>
      <c r="GX26" s="30">
        <f t="shared" ref="GX26:GX86" si="3">(($GI26*$GT26+$GH26*$GU26)*($GH26+$GT26)-($GI26+$GU26)*($GH26*$GT26-$GI26*$GU26))/(($GH26+$GT26)^2+($GI26+$GU26)^2)</f>
        <v>-53.351462833105423</v>
      </c>
      <c r="GY26" s="34">
        <f>SQRT(GW26^2+GX26^2)</f>
        <v>596.51879471483528</v>
      </c>
      <c r="GZ26" s="34">
        <f t="shared" ref="GZ26:GZ57" si="4">FV26+GW26</f>
        <v>599.99680473599722</v>
      </c>
      <c r="HA26" s="34">
        <f t="shared" ref="HA26:HA57" si="5">FW26+GX26</f>
        <v>1.33130623788702E-3</v>
      </c>
      <c r="HB26" s="34">
        <f>SQRT(GZ26^2+HA26^2)</f>
        <v>599.99680473747424</v>
      </c>
      <c r="HC26" s="33">
        <f t="shared" ref="HC26:HC57" si="6">($GW26*($FV26+$GW26)+$GX26*($FW26+$GX26))/(($FV26+$GW26)^2+($FW26+$GX26)^2)</f>
        <v>0.99021870880715968</v>
      </c>
      <c r="HD26" s="33">
        <f t="shared" ref="HD26:HD57" si="7">($GX26*($FV26+$GW26)-$GW26*($FW26+$GX26))/(($FV26+$GW26)^2+($FW26+$GX26)^2)</f>
        <v>-8.8921775409995615E-2</v>
      </c>
      <c r="HE26" s="33">
        <f>SQRT(HC26^2+HD26^2)</f>
        <v>0.99420328575889561</v>
      </c>
      <c r="HF26" s="33">
        <f>$HC26*(($GT26*($GT26-$FV26)+$GU26*($GU26-$FW26))/($GT26^2+$GU26^2))-($HD26)*(($GT26*($GU26-$FW26)-$GU26*($GT26-$FV26))/($GT26^2+$GU26^2))</f>
        <v>0.965386398674144</v>
      </c>
      <c r="HG26" s="33">
        <f t="shared" ref="HG26:HG57" si="8">$HD26*($GT26*($GT26-$FV26)+$GU26*($GU26-$FW26))/($GT26^2+$GU26^2)+$HC26*(($GT26*($GU26-$FW26)-$GU26*($GT26-$FV26))/($GT26^2+$GU26^2))</f>
        <v>-0.17307238351478077</v>
      </c>
      <c r="HH26" s="33">
        <f>SQRT(HF26^2+HG26^2)</f>
        <v>0.98077772643984962</v>
      </c>
      <c r="HI26" s="30">
        <f>(HF26*(GQ26*(GB26+GQ26)+GR26*(GC26+GR26))-HG26*(GR26*(GB26+GQ26)-GQ26*(GC26+GR26)))/((GB26+GQ26)^2+(GC26+GR26)^2)</f>
        <v>0.96497324928157358</v>
      </c>
      <c r="HJ26" s="30">
        <f>(HG26*(GQ26*(GB26+GQ26)+GR26*(GC26+GR26))+HF26*(GR26*(GB26+GQ26)-GQ26*(GC26+GR26)))/((GB26+GQ26)^2+(GC26+GR26)^2)</f>
        <v>-0.17534604816792099</v>
      </c>
      <c r="HK26" s="33">
        <f>SQRT(HI26^2+HJ26^2)</f>
        <v>0.98077500398263862</v>
      </c>
      <c r="HL26" s="61">
        <f>$FP$15*(HI26*($FP$15+GB26)+GC26*HJ26)/(($FP$15+GB26)^2+GC26^2)</f>
        <v>0.96454939490911551</v>
      </c>
      <c r="HM26" s="61">
        <f>$FP$15*(HJ26*($FP$15+GB26)-GC26*HI26)/(($FP$15+GB26)^2+GC26^2)</f>
        <v>-0.17761771545438712</v>
      </c>
      <c r="HN26" s="33">
        <f>SQRT(HL26^2+HM26^2)</f>
        <v>0.98076683674703058</v>
      </c>
      <c r="HO26" s="30">
        <f>20*LOG(HH26)</f>
        <v>-0.16858811169479918</v>
      </c>
      <c r="HP26" s="30">
        <f>HO26-HS26</f>
        <v>9.4623980382374517E-5</v>
      </c>
      <c r="HQ26" s="29">
        <v>10</v>
      </c>
      <c r="HR26" s="30">
        <v>62.831853071795862</v>
      </c>
      <c r="HS26" s="30">
        <f>20*LOG(SQRT(((1+($FP$8*10^(-6)*HR26)^2)/((1+($FP$7*10^(-6)*HR26)^2)*(1+($FP$9*10^(-6)*HR26)^2)))))</f>
        <v>-0.16868273567518155</v>
      </c>
      <c r="HT26" s="30">
        <f>20*LOG(HN26)</f>
        <v>-0.16868455270541369</v>
      </c>
      <c r="HU26" s="30">
        <f>HT26-HS26</f>
        <v>-1.8170302321374177E-6</v>
      </c>
      <c r="HV26" s="30">
        <f>HT26-HV$23</f>
        <v>19.743952370919011</v>
      </c>
      <c r="HW26" s="30">
        <f t="shared" ref="HW26:HW86" si="9">HS26-HW$23</f>
        <v>19.743954630169235</v>
      </c>
      <c r="HX26" s="73">
        <f t="shared" ref="HX26:HX86" si="10">HB26-FP$15</f>
        <v>-3.1952625257645195E-3</v>
      </c>
      <c r="HY26" s="30">
        <f>HO26-HY$23</f>
        <v>19.744048811929627</v>
      </c>
      <c r="HZ26" s="74">
        <f>HV26-HW26</f>
        <v>-2.2592502233464984E-6</v>
      </c>
    </row>
    <row r="27" spans="1:244" ht="15" customHeight="1" thickBot="1">
      <c r="A27" s="79"/>
      <c r="B27" s="79"/>
      <c r="C27" s="79"/>
      <c r="D27" s="79"/>
      <c r="E27" s="79"/>
      <c r="F27" s="79"/>
      <c r="G27" s="79"/>
      <c r="H27" s="79"/>
      <c r="I27" s="79"/>
      <c r="J27" s="79"/>
      <c r="K27" s="79"/>
      <c r="L27" s="79"/>
      <c r="M27" s="79"/>
      <c r="N27" s="79"/>
      <c r="O27" s="79"/>
      <c r="P27" s="79"/>
      <c r="Q27" s="79"/>
      <c r="R27" s="79"/>
      <c r="S27" s="79"/>
      <c r="T27" s="79"/>
      <c r="U27" s="79"/>
      <c r="V27" s="79"/>
      <c r="W27" s="79"/>
      <c r="X27" s="79"/>
      <c r="Y27" s="79"/>
      <c r="Z27" s="79"/>
      <c r="AA27" s="79"/>
      <c r="AB27" s="79"/>
      <c r="AC27" s="79"/>
      <c r="AD27" s="79"/>
      <c r="AE27" s="79"/>
      <c r="AF27" s="79"/>
      <c r="AG27" s="79"/>
      <c r="AH27" s="79"/>
      <c r="AI27" s="79"/>
      <c r="AJ27" s="79"/>
      <c r="AK27" s="79"/>
      <c r="AL27" s="79"/>
      <c r="AM27" s="79"/>
      <c r="AN27" s="79"/>
      <c r="AO27" s="79"/>
      <c r="AP27" s="79"/>
      <c r="AQ27" s="79"/>
      <c r="AR27" s="79"/>
      <c r="AS27" s="79"/>
      <c r="AT27" s="79"/>
      <c r="AU27" s="79"/>
      <c r="AV27" s="79"/>
      <c r="AW27" s="79"/>
      <c r="AX27" s="79"/>
      <c r="AY27" s="79"/>
      <c r="AZ27" s="79"/>
      <c r="BA27" s="79"/>
      <c r="BB27" s="79"/>
      <c r="BC27" s="79"/>
      <c r="BD27" s="79"/>
      <c r="BE27" s="79"/>
      <c r="BF27" s="79"/>
      <c r="BG27" s="79"/>
      <c r="BH27" s="79"/>
      <c r="BI27" s="79"/>
      <c r="BJ27" s="79"/>
      <c r="BK27" s="79"/>
      <c r="BL27" s="79"/>
      <c r="BM27" s="79"/>
      <c r="BN27" s="79"/>
      <c r="BO27" s="79"/>
      <c r="BP27" s="79"/>
      <c r="BQ27" s="79"/>
      <c r="BR27" s="79"/>
      <c r="BS27" s="79"/>
      <c r="BT27" s="79"/>
      <c r="BU27" s="79"/>
      <c r="BV27" s="79"/>
      <c r="BW27" s="79"/>
      <c r="BX27" s="79"/>
      <c r="BY27" s="79"/>
      <c r="BZ27" s="79"/>
      <c r="CA27" s="79"/>
      <c r="CB27" s="80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18" t="s">
        <v>33</v>
      </c>
      <c r="CT27" s="132" t="s">
        <v>136</v>
      </c>
      <c r="CU27" s="132"/>
      <c r="CV27" s="133">
        <f>CV21*DI24-DC21*DO24</f>
        <v>0.96454939490911551</v>
      </c>
      <c r="CW27" s="133"/>
      <c r="CX27" s="133"/>
      <c r="CY27" s="133"/>
      <c r="CZ27" s="133"/>
      <c r="DA27" s="19" t="s">
        <v>30</v>
      </c>
      <c r="DB27" s="19" t="s">
        <v>114</v>
      </c>
      <c r="DC27" s="133">
        <f>CV21*DO24+DC21*DI24</f>
        <v>-0.17761771545438709</v>
      </c>
      <c r="DD27" s="133"/>
      <c r="DE27" s="133"/>
      <c r="DF27" s="133"/>
      <c r="DG27" s="133"/>
      <c r="DH27" s="20" t="s">
        <v>137</v>
      </c>
      <c r="DI27" s="2"/>
      <c r="DJ27" s="2"/>
      <c r="DK27" s="2"/>
      <c r="DL27" s="2"/>
      <c r="DM27" s="2"/>
      <c r="EK27" s="30" t="s">
        <v>33</v>
      </c>
      <c r="EL27" s="30" t="s">
        <v>184</v>
      </c>
      <c r="FO27" s="43" t="s">
        <v>223</v>
      </c>
      <c r="FP27" s="30">
        <f t="shared" ref="FP27:FP36" si="11">SQRT(FP49^2+FR49^2)</f>
        <v>53.674588054331586</v>
      </c>
      <c r="FT27" s="29">
        <v>11</v>
      </c>
      <c r="FU27" s="27">
        <f t="shared" ref="FU27:FU86" si="12">2*PI()*FT27</f>
        <v>69.115038378975441</v>
      </c>
      <c r="FV27" s="30">
        <f t="shared" ref="FV27:FV86" si="13">$AJ$30*(2*$AJ$30*$AJ$35+$AJ$35^2+($FU27*$AJ$37)^2)/((2*$AJ$30+$AJ$35)^2+($FU27*$AJ$37)^2)</f>
        <v>7.0832540681462364</v>
      </c>
      <c r="FW27" s="30">
        <f t="shared" ref="FW27:FW86" si="14">2*$AJ$30^2*$FU27*$AJ$37/((2*$AJ$30+$AJ$35)^2+($FU27*$AJ$37)^2)</f>
        <v>58.541108010336465</v>
      </c>
      <c r="FX27" s="34">
        <f t="shared" ref="FX27:FX86" si="15">SQRT(FV27^2+FW27^2)</f>
        <v>58.968074542686153</v>
      </c>
      <c r="FY27" s="30">
        <f t="shared" ref="FY27:FY86" si="16">$AJ$30^2*(2*$AJ$30+$AJ$35)/((2*$AJ$30+$AJ$35)^2+($FU27*$AJ$37)^2)</f>
        <v>241.91291842047235</v>
      </c>
      <c r="FZ27" s="30">
        <f t="shared" ref="FZ27:FZ86" si="17">-($AJ$30^2*$FU27*$AJ$37)/((2*$AJ$30+$AJ$35)^2+($FU27*$AJ$37)^2)</f>
        <v>-29.270554005168233</v>
      </c>
      <c r="GA27" s="34">
        <f t="shared" ref="GA27:GA86" si="18">SQRT(FY27^2+FZ27^2)</f>
        <v>243.67729773304606</v>
      </c>
      <c r="GB27" s="34">
        <f t="shared" ref="GB27:GB86" si="19">FP$12*(2*FP$12*FP$17+FP$17^2+(FU27*FP$19)^2)/((2*FP$12+FP$17)^2+(FU27*FP$19)^2)</f>
        <v>4.0304726225970566E-3</v>
      </c>
      <c r="GC27" s="34">
        <f t="shared" ref="GC27:GC86" si="20">2*FP$12^2*FU27*FP$19/((2*FP$12+FP$17)^2+(FU27*FP$19)^2)</f>
        <v>1.5550779172918223</v>
      </c>
      <c r="GD27" s="34">
        <f t="shared" ref="GD27:GD86" si="21">SQRT(GB27^2+GC27^2)</f>
        <v>1.5550831404006131</v>
      </c>
      <c r="GE27" s="55">
        <f t="shared" ref="GE27:GE86" si="22">FP$12^2*(2*FP$12+FP$17)/((2*FP$12+FP$17)^2+(FU27*FP$19)^2)</f>
        <v>299.99798476368875</v>
      </c>
      <c r="GF27" s="55">
        <f t="shared" ref="GF27:GF85" si="23">-(FP$12^2*FU27*FP$19)/((2*FP$12+FP$17)^2+(FU27*FP$19)^2)</f>
        <v>-0.77753895864591116</v>
      </c>
      <c r="GG27" s="34">
        <f t="shared" ref="GG27:GG86" si="24">SQRT(GE27^2+GF27^2)</f>
        <v>299.99899238015223</v>
      </c>
      <c r="GH27" s="30">
        <f t="shared" ref="GH27:GH86" si="25">$FY27+$AJ$32+$AJ$33/(1+($AJ$33*$FU27*$AP$39)^2)</f>
        <v>363.21687270134476</v>
      </c>
      <c r="GI27" s="30">
        <f t="shared" si="0"/>
        <v>-3059.6677006980817</v>
      </c>
      <c r="GJ27" s="34">
        <f t="shared" ref="GJ27:GJ86" si="26">SQRT(GH27^2+GI27^2)</f>
        <v>3081.1512353842727</v>
      </c>
      <c r="GK27" s="34">
        <f t="shared" ref="GK27:GK86" si="27">GE27</f>
        <v>299.99798476368875</v>
      </c>
      <c r="GL27" s="34">
        <f t="shared" ref="GL27:GL86" si="28">GF27-1/(FU27*FP$21*10^(-6))</f>
        <v>-115749.82706033708</v>
      </c>
      <c r="GM27" s="34">
        <f t="shared" ref="GM27:GM86" si="29">SQRT(GK27^2+GL27^2)</f>
        <v>115750.2158239405</v>
      </c>
      <c r="GN27" s="55">
        <f t="shared" si="1"/>
        <v>600.00403047262262</v>
      </c>
      <c r="GO27" s="55">
        <f t="shared" si="2"/>
        <v>1.5550779172918223</v>
      </c>
      <c r="GP27" s="34">
        <f t="shared" ref="GP27:GP86" si="30">SQRT(GN27^2+GO27^2)</f>
        <v>600.0060456784754</v>
      </c>
      <c r="GQ27" s="55">
        <f t="shared" ref="GQ27:GQ86" si="31">((GK27*GN27-GL27*GO27)*(GK27+GN27)+(GL27+GO27)*(GL27*GN27+GK27*GO27))/((GK27+GN27)^2+(GL27+GO27)^2)</f>
        <v>599.9959695273775</v>
      </c>
      <c r="GR27" s="55">
        <f t="shared" ref="GR27:GR86" si="32">((GL27*GN27+GK27*GO27)*(GK27+GN27)-(GL27+GO27)*(GK27*GN27-GL27*GO27))/((GK27+GN27)^2+(GL27+GO27)^2)</f>
        <v>-1.5550779172918232</v>
      </c>
      <c r="GS27" s="34">
        <f t="shared" ref="GS27:GS86" si="33">SQRT(GQ27^2+GR27^2)</f>
        <v>599.99798476030446</v>
      </c>
      <c r="GT27" s="56">
        <f t="shared" ref="GT27:GT86" si="34">FV27+GB27+GQ27</f>
        <v>607.08325406814629</v>
      </c>
      <c r="GU27" s="56">
        <f t="shared" ref="GU27:GU86" si="35">FW27+GC27+GR27</f>
        <v>58.541108010336465</v>
      </c>
      <c r="GV27" s="34">
        <f t="shared" ref="GV27:GV86" si="36">SQRT(GT27^2+GU27^2)</f>
        <v>609.89928569973529</v>
      </c>
      <c r="GW27" s="30">
        <f t="shared" ref="GW27:GW86" si="37">(($GH27*$GT27-$GI27*$GU27)*($GH27+$GT27)+($GI27+$GU27)*($GI27*$GT27+$GH27*$GU27))/(($GH27+$GT27)^2+($GI27+$GU27)^2)</f>
        <v>592.91362917154322</v>
      </c>
      <c r="GX27" s="30">
        <f t="shared" si="3"/>
        <v>-58.539666944497455</v>
      </c>
      <c r="GY27" s="34">
        <f t="shared" ref="GY27:GY86" si="38">SQRT(GW27^2+GX27^2)</f>
        <v>595.79649567897172</v>
      </c>
      <c r="GZ27" s="34">
        <f t="shared" si="4"/>
        <v>599.99688323968951</v>
      </c>
      <c r="HA27" s="34">
        <f t="shared" si="5"/>
        <v>1.4410658390104913E-3</v>
      </c>
      <c r="HB27" s="34">
        <f t="shared" ref="HB27:HB86" si="39">SQRT(GZ27^2+HA27^2)</f>
        <v>599.99688324142005</v>
      </c>
      <c r="HC27" s="33">
        <f t="shared" si="6"/>
        <v>0.98819428088819317</v>
      </c>
      <c r="HD27" s="33">
        <f t="shared" si="7"/>
        <v>-9.7568991827798671E-2</v>
      </c>
      <c r="HE27" s="33">
        <f t="shared" ref="HE27:HE68" si="40">SQRT(HC27^2+HD27^2)</f>
        <v>0.99299931769685834</v>
      </c>
      <c r="HF27" s="33">
        <f t="shared" ref="HF27:HF57" si="41">$HC27*(($GT27*($GT27-$FV27)+$GU27*($GU27-$FW27))/($GT27^2+$GU27^2))-($HD27)*(($GT27*($GU27-$FW27)-$GU27*($GT27-$FV27))/($GT27^2+$GU27^2))</f>
        <v>0.95845309991702765</v>
      </c>
      <c r="HG27" s="33">
        <f t="shared" si="8"/>
        <v>-0.18885433056088549</v>
      </c>
      <c r="HH27" s="33">
        <f t="shared" ref="HH27:HH86" si="42">SQRT(HF27^2+HG27^2)</f>
        <v>0.97688192884921354</v>
      </c>
      <c r="HI27" s="30">
        <f>(HF27*(GQ27*(GB27+GQ27)+GR27*(GC27+GR27))-HG27*(GR27*(GB27+GQ27)-GQ27*(GC27+GR27)))/((GB27+GQ27)^2+(GC27+GR27)^2)</f>
        <v>0.95795718955366205</v>
      </c>
      <c r="HJ27" s="30">
        <f t="shared" ref="HJ27:HJ86" si="43">(HG27*(GQ27*(GB27+GQ27)+GR27*(GC27+GR27))+HF27*(GR27*(GB27+GQ27)-GQ27*(GC27+GR27)))/((GB27+GQ27)^2+(GC27+GR27)^2)</f>
        <v>-0.19133717735793865</v>
      </c>
      <c r="HK27" s="33">
        <f t="shared" ref="HK27:HK86" si="44">SQRT(HI27^2+HJ27^2)</f>
        <v>0.97687864776381206</v>
      </c>
      <c r="HL27" s="61">
        <f t="shared" ref="HL27:HL86" si="45">$FP$15*(HI27*($FP$15+GB27)+GC27*HJ27)/(($FP$15+GB27)^2+GC27^2)</f>
        <v>0.9574484227069856</v>
      </c>
      <c r="HM27" s="61">
        <f t="shared" ref="HM27:HM86" si="46">$FP$15*(HJ27*($FP$15+GB27)-GC27*HI27)/(($FP$15+GB27)^2+GC27^2)</f>
        <v>-0.19381738689698172</v>
      </c>
      <c r="HN27" s="33">
        <f t="shared" ref="HN27:HN86" si="47">SQRT(HL27^2+HM27^2)</f>
        <v>0.97686880470596915</v>
      </c>
      <c r="HO27" s="30">
        <f t="shared" ref="HO27:HO86" si="48">20*LOG(HH27)</f>
        <v>-0.20315848505091583</v>
      </c>
      <c r="HP27" s="30">
        <f t="shared" ref="HP27:HP86" si="49">HO27-HS27</f>
        <v>1.1453088089730112E-4</v>
      </c>
      <c r="HQ27" s="29">
        <v>11</v>
      </c>
      <c r="HR27" s="30">
        <v>69.115038378975441</v>
      </c>
      <c r="HS27" s="30">
        <f t="shared" ref="HS27:HS86" si="50">20*LOG(SQRT(((1+($FP$8*10^(-6)*HR27)^2)/((1+($FP$7*10^(-6)*HR27)^2)*(1+($FP$9*10^(-6)*HR27)^2)))))</f>
        <v>-0.20327301593181313</v>
      </c>
      <c r="HT27" s="30">
        <f t="shared" ref="HT27:HT86" si="51">20*LOG(HN27)</f>
        <v>-0.20327517840166814</v>
      </c>
      <c r="HU27" s="30">
        <f t="shared" ref="HU27:HU86" si="52">HT27-HS27</f>
        <v>-2.1624698550160026E-6</v>
      </c>
      <c r="HV27" s="30">
        <f t="shared" ref="HV26:HV86" si="53">HT27-HV$23</f>
        <v>19.709361745222758</v>
      </c>
      <c r="HW27" s="30">
        <f t="shared" si="9"/>
        <v>19.709364349912601</v>
      </c>
      <c r="HX27" s="73">
        <f t="shared" si="10"/>
        <v>-3.1167585799494191E-3</v>
      </c>
      <c r="HY27" s="30">
        <f t="shared" ref="HY27:HY86" si="54">HO27-HY$23</f>
        <v>19.709478438573509</v>
      </c>
      <c r="HZ27" s="74">
        <f t="shared" ref="HZ27:HZ86" si="55">HV27-HW27</f>
        <v>-2.6046898433662591E-6</v>
      </c>
    </row>
    <row r="28" spans="1:244" ht="15" customHeight="1">
      <c r="A28" s="79"/>
      <c r="B28" s="79"/>
      <c r="C28" s="79"/>
      <c r="D28" s="79"/>
      <c r="E28" s="79"/>
      <c r="F28" s="79"/>
      <c r="G28" s="79"/>
      <c r="H28" s="79"/>
      <c r="I28" s="79"/>
      <c r="J28" s="79"/>
      <c r="K28" s="79"/>
      <c r="L28" s="79"/>
      <c r="M28" s="79"/>
      <c r="N28" s="79"/>
      <c r="O28" s="79"/>
      <c r="P28" s="79"/>
      <c r="Q28" s="79"/>
      <c r="R28" s="79"/>
      <c r="S28" s="79"/>
      <c r="T28" s="79"/>
      <c r="U28" s="79"/>
      <c r="V28" s="79"/>
      <c r="W28" s="79"/>
      <c r="X28" s="79"/>
      <c r="Y28" s="79"/>
      <c r="Z28" s="79"/>
      <c r="AA28" s="79"/>
      <c r="AB28" s="79"/>
      <c r="AC28" s="79"/>
      <c r="AD28" s="79"/>
      <c r="AE28" s="79"/>
      <c r="AF28" s="79"/>
      <c r="AG28" s="79"/>
      <c r="AH28" s="79"/>
      <c r="AI28" s="79"/>
      <c r="AJ28" s="79"/>
      <c r="AK28" s="79"/>
      <c r="AL28" s="79"/>
      <c r="AM28" s="79"/>
      <c r="AN28" s="79"/>
      <c r="AO28" s="79"/>
      <c r="AP28" s="79"/>
      <c r="AQ28" s="79"/>
      <c r="AR28" s="79"/>
      <c r="AS28" s="79"/>
      <c r="AT28" s="79"/>
      <c r="AU28" s="79"/>
      <c r="AV28" s="79"/>
      <c r="AW28" s="79"/>
      <c r="AX28" s="79"/>
      <c r="AY28" s="79"/>
      <c r="AZ28" s="79"/>
      <c r="BA28" s="79"/>
      <c r="BB28" s="79"/>
      <c r="BC28" s="79"/>
      <c r="BD28" s="79"/>
      <c r="BE28" s="79"/>
      <c r="BF28" s="79"/>
      <c r="BG28" s="79"/>
      <c r="BH28" s="79"/>
      <c r="BI28" s="79"/>
      <c r="BJ28" s="79"/>
      <c r="BK28" s="79"/>
      <c r="BL28" s="79"/>
      <c r="BM28" s="79"/>
      <c r="BN28" s="79"/>
      <c r="BO28" s="79"/>
      <c r="BP28" s="79"/>
      <c r="BQ28" s="79"/>
      <c r="BR28" s="79"/>
      <c r="BS28" s="79"/>
      <c r="BT28" s="79"/>
      <c r="BU28" s="79"/>
      <c r="BV28" s="79"/>
      <c r="BW28" s="79"/>
      <c r="BX28" s="79"/>
      <c r="BY28" s="79"/>
      <c r="BZ28" s="79"/>
      <c r="CA28" s="79"/>
      <c r="CB28" s="79"/>
      <c r="EL28" s="30" t="s">
        <v>185</v>
      </c>
      <c r="FO28" s="43" t="s">
        <v>224</v>
      </c>
      <c r="FP28" s="30">
        <f t="shared" si="11"/>
        <v>243.98297795870303</v>
      </c>
      <c r="FT28" s="29">
        <v>12</v>
      </c>
      <c r="FU28" s="27">
        <f t="shared" si="12"/>
        <v>75.398223686155035</v>
      </c>
      <c r="FV28" s="30">
        <f t="shared" si="13"/>
        <v>8.406601166417131</v>
      </c>
      <c r="FW28" s="30">
        <f t="shared" si="14"/>
        <v>63.688350528726453</v>
      </c>
      <c r="FX28" s="34">
        <f t="shared" si="15"/>
        <v>64.240773160362394</v>
      </c>
      <c r="FY28" s="30">
        <f t="shared" si="16"/>
        <v>241.25124487133689</v>
      </c>
      <c r="FZ28" s="30">
        <f>-($AJ$30^2*$FU28*$AJ$37)/((2*$AJ$30+$AJ$35)^2+($FU28*$AJ$37)^2)</f>
        <v>-31.844175264363226</v>
      </c>
      <c r="GA28" s="34">
        <f t="shared" si="18"/>
        <v>243.34381983160623</v>
      </c>
      <c r="GB28" s="34">
        <f t="shared" si="19"/>
        <v>4.7965893931732027E-3</v>
      </c>
      <c r="GC28" s="34">
        <f t="shared" si="20"/>
        <v>1.6964464709014886</v>
      </c>
      <c r="GD28" s="34">
        <f t="shared" si="21"/>
        <v>1.6964532519064361</v>
      </c>
      <c r="GE28" s="55">
        <f t="shared" si="22"/>
        <v>299.99760170530345</v>
      </c>
      <c r="GF28" s="55">
        <f t="shared" si="23"/>
        <v>-0.8482232354507443</v>
      </c>
      <c r="GG28" s="34">
        <f t="shared" si="24"/>
        <v>299.99880085025518</v>
      </c>
      <c r="GH28" s="30">
        <f t="shared" si="25"/>
        <v>362.5405313704062</v>
      </c>
      <c r="GI28" s="30">
        <f t="shared" si="0"/>
        <v>-2809.7082268069844</v>
      </c>
      <c r="GJ28" s="34">
        <f t="shared" si="26"/>
        <v>2833.0012277923893</v>
      </c>
      <c r="GK28" s="34">
        <f t="shared" si="27"/>
        <v>299.99760170530345</v>
      </c>
      <c r="GL28" s="34">
        <f t="shared" si="28"/>
        <v>-106104.14361783233</v>
      </c>
      <c r="GM28" s="34">
        <f t="shared" si="29"/>
        <v>106104.56772182157</v>
      </c>
      <c r="GN28" s="55">
        <f t="shared" si="1"/>
        <v>600.00479658939321</v>
      </c>
      <c r="GO28" s="55">
        <f t="shared" si="2"/>
        <v>1.6964464709014886</v>
      </c>
      <c r="GP28" s="34">
        <f t="shared" si="30"/>
        <v>600.00719484095168</v>
      </c>
      <c r="GQ28" s="55">
        <f t="shared" si="31"/>
        <v>599.99520341060679</v>
      </c>
      <c r="GR28" s="55">
        <f t="shared" si="32"/>
        <v>-1.6964464709014893</v>
      </c>
      <c r="GS28" s="34">
        <f t="shared" si="33"/>
        <v>599.99760170051013</v>
      </c>
      <c r="GT28" s="56">
        <f t="shared" si="34"/>
        <v>608.40660116641709</v>
      </c>
      <c r="GU28" s="56">
        <f t="shared" si="35"/>
        <v>63.688350528726446</v>
      </c>
      <c r="GV28" s="34">
        <f t="shared" si="36"/>
        <v>611.73098526716922</v>
      </c>
      <c r="GW28" s="30">
        <f t="shared" si="37"/>
        <v>591.59036566698171</v>
      </c>
      <c r="GX28" s="30">
        <f t="shared" si="3"/>
        <v>-63.686805686682519</v>
      </c>
      <c r="GY28" s="34">
        <f t="shared" si="38"/>
        <v>595.00854613069748</v>
      </c>
      <c r="GZ28" s="34">
        <f t="shared" si="4"/>
        <v>599.9969668333988</v>
      </c>
      <c r="HA28" s="34">
        <f t="shared" si="5"/>
        <v>1.5448420439341248E-3</v>
      </c>
      <c r="HB28" s="34">
        <f t="shared" si="39"/>
        <v>599.99696683538752</v>
      </c>
      <c r="HC28" s="33">
        <f t="shared" si="6"/>
        <v>0.98598865392221113</v>
      </c>
      <c r="HD28" s="33">
        <f t="shared" si="7"/>
        <v>-0.10614775141204054</v>
      </c>
      <c r="HE28" s="33">
        <f t="shared" si="40"/>
        <v>0.99168592346224527</v>
      </c>
      <c r="HF28" s="33">
        <f t="shared" si="41"/>
        <v>0.95098585062780561</v>
      </c>
      <c r="HG28" s="33">
        <f t="shared" si="8"/>
        <v>-0.20423080685128792</v>
      </c>
      <c r="HH28" s="33">
        <f t="shared" si="42"/>
        <v>0.97266865404484948</v>
      </c>
      <c r="HI28" s="30">
        <f t="shared" ref="HI28:HI86" si="56">(HF28*(GQ28*(GB28+GQ28)+GR28*(GC28+GR28))-HG28*(GR28*(GB28+GQ28)-GQ28*(GC28+GR28)))/((GB28+GQ28)^2+(GC28+GR28)^2)</f>
        <v>0.95040080376084479</v>
      </c>
      <c r="HJ28" s="30">
        <f t="shared" si="43"/>
        <v>-0.20691800181604272</v>
      </c>
      <c r="HK28" s="33">
        <f t="shared" si="44"/>
        <v>0.97266476612695485</v>
      </c>
      <c r="HL28" s="61">
        <f t="shared" si="45"/>
        <v>0.94980058035801085</v>
      </c>
      <c r="HM28" s="61">
        <f t="shared" si="46"/>
        <v>-0.20960180259741834</v>
      </c>
      <c r="HN28" s="33">
        <f t="shared" si="47"/>
        <v>0.97265310265299687</v>
      </c>
      <c r="HO28" s="30">
        <f t="shared" si="48"/>
        <v>-0.24070159602396562</v>
      </c>
      <c r="HP28" s="30">
        <f t="shared" si="49"/>
        <v>1.3634677818358254E-4</v>
      </c>
      <c r="HQ28" s="29">
        <v>12</v>
      </c>
      <c r="HR28" s="30">
        <v>75.398223686155035</v>
      </c>
      <c r="HS28" s="30">
        <f t="shared" si="50"/>
        <v>-0.24083794280214921</v>
      </c>
      <c r="HT28" s="30">
        <f t="shared" si="51"/>
        <v>-0.24084047040080109</v>
      </c>
      <c r="HU28" s="30">
        <f t="shared" si="52"/>
        <v>-2.5275986518802362E-6</v>
      </c>
      <c r="HV28" s="30">
        <f t="shared" si="53"/>
        <v>19.671796453223624</v>
      </c>
      <c r="HW28" s="30">
        <f t="shared" si="9"/>
        <v>19.671799423042266</v>
      </c>
      <c r="HX28" s="73">
        <f t="shared" si="10"/>
        <v>-3.0331646124750478E-3</v>
      </c>
      <c r="HY28" s="30">
        <f t="shared" si="54"/>
        <v>19.671935327600462</v>
      </c>
      <c r="HZ28" s="74">
        <f t="shared" si="55"/>
        <v>-2.9698186416737826E-6</v>
      </c>
    </row>
    <row r="29" spans="1:244" ht="15" customHeight="1" thickBot="1">
      <c r="A29" s="79"/>
      <c r="B29" s="79"/>
      <c r="C29" s="79"/>
      <c r="D29" s="79"/>
      <c r="E29" s="79"/>
      <c r="F29" s="79"/>
      <c r="G29" s="79"/>
      <c r="H29" s="79"/>
      <c r="I29" s="79"/>
      <c r="J29" s="79"/>
      <c r="K29" s="79"/>
      <c r="L29" s="79"/>
      <c r="M29" s="79"/>
      <c r="N29" s="79"/>
      <c r="O29" s="79"/>
      <c r="P29" s="79"/>
      <c r="Q29" s="79"/>
      <c r="R29" s="79"/>
      <c r="S29" s="79"/>
      <c r="T29" s="79"/>
      <c r="U29" s="79"/>
      <c r="V29" s="79"/>
      <c r="W29" s="79"/>
      <c r="X29" s="79"/>
      <c r="Y29" s="79"/>
      <c r="Z29" s="79"/>
      <c r="AA29" s="79"/>
      <c r="AB29" s="79"/>
      <c r="AC29" s="79"/>
      <c r="AD29" s="79"/>
      <c r="AE29" s="79"/>
      <c r="AF29" s="79"/>
      <c r="AG29" s="79"/>
      <c r="AH29" s="79"/>
      <c r="AI29" s="79"/>
      <c r="AJ29" s="79"/>
      <c r="AK29" s="79"/>
      <c r="AL29" s="79"/>
      <c r="AM29" s="79"/>
      <c r="AN29" s="79"/>
      <c r="AO29" s="79"/>
      <c r="AP29" s="79"/>
      <c r="AQ29" s="79"/>
      <c r="AR29" s="79"/>
      <c r="AS29" s="79"/>
      <c r="AT29" s="79"/>
      <c r="AU29" s="79"/>
      <c r="AV29" s="79"/>
      <c r="AW29" s="79"/>
      <c r="AX29" s="79"/>
      <c r="AY29" s="79"/>
      <c r="AZ29" s="79"/>
      <c r="BA29" s="79"/>
      <c r="BB29" s="79"/>
      <c r="BC29" s="79"/>
      <c r="BD29" s="79"/>
      <c r="BE29" s="79"/>
      <c r="BF29" s="79"/>
      <c r="BG29" s="79"/>
      <c r="BH29" s="79"/>
      <c r="BI29" s="79"/>
      <c r="BJ29" s="79"/>
      <c r="BK29" s="79"/>
      <c r="BL29" s="79"/>
      <c r="BM29" s="79"/>
      <c r="BN29" s="79"/>
      <c r="BO29" s="79"/>
      <c r="BP29" s="79"/>
      <c r="BQ29" s="79"/>
      <c r="BR29" s="79"/>
      <c r="BS29" s="79"/>
      <c r="BT29" s="79"/>
      <c r="BU29" s="79"/>
      <c r="BV29" s="79"/>
      <c r="BW29" s="79"/>
      <c r="BX29" s="79"/>
      <c r="BY29" s="79"/>
      <c r="BZ29" s="79"/>
      <c r="CA29" s="79"/>
      <c r="CB29" s="79"/>
      <c r="EL29" s="30" t="s">
        <v>136</v>
      </c>
      <c r="EN29" s="108">
        <f>DH6*EN24-DN6*ET24</f>
        <v>0.96537704951641579</v>
      </c>
      <c r="EO29" s="108"/>
      <c r="EP29" s="108"/>
      <c r="EQ29" s="108"/>
      <c r="ER29" s="3" t="s">
        <v>115</v>
      </c>
      <c r="ES29" s="108">
        <f>DN6*EN24+DH6*ET24</f>
        <v>-0.17538230948420774</v>
      </c>
      <c r="ET29" s="108"/>
      <c r="EU29" s="108"/>
      <c r="EV29" s="108"/>
      <c r="EW29" s="108"/>
      <c r="EX29" s="30" t="s">
        <v>137</v>
      </c>
      <c r="FO29" s="43" t="s">
        <v>225</v>
      </c>
      <c r="FP29" s="30">
        <f>SQRT(FP51^2+FR51^2)</f>
        <v>1.4137127698998539</v>
      </c>
      <c r="FT29" s="29">
        <v>13</v>
      </c>
      <c r="FU29" s="27">
        <f t="shared" si="12"/>
        <v>81.681408993334628</v>
      </c>
      <c r="FV29" s="30">
        <f t="shared" si="13"/>
        <v>9.8368354905829527</v>
      </c>
      <c r="FW29" s="30">
        <f t="shared" si="14"/>
        <v>68.791195916596536</v>
      </c>
      <c r="FX29" s="34">
        <f t="shared" si="15"/>
        <v>69.490948821442643</v>
      </c>
      <c r="FY29" s="30">
        <f t="shared" si="16"/>
        <v>240.536127709254</v>
      </c>
      <c r="FZ29" s="30">
        <f t="shared" si="17"/>
        <v>-34.395597958298268</v>
      </c>
      <c r="GA29" s="34">
        <f t="shared" si="18"/>
        <v>242.98289218023447</v>
      </c>
      <c r="GB29" s="34">
        <f t="shared" si="19"/>
        <v>5.6293227943172751E-3</v>
      </c>
      <c r="GC29" s="34">
        <f t="shared" si="20"/>
        <v>1.8378144594368722</v>
      </c>
      <c r="GD29" s="34">
        <f t="shared" si="21"/>
        <v>1.8378230808732285</v>
      </c>
      <c r="GE29" s="55">
        <f t="shared" si="22"/>
        <v>299.99718533860283</v>
      </c>
      <c r="GF29" s="55">
        <f t="shared" si="23"/>
        <v>-0.91890722971843608</v>
      </c>
      <c r="GG29" s="34">
        <f t="shared" si="24"/>
        <v>299.99859266600043</v>
      </c>
      <c r="GH29" s="30">
        <f t="shared" si="25"/>
        <v>361.81399922505443</v>
      </c>
      <c r="GI29" s="30">
        <f t="shared" si="0"/>
        <v>-2598.5777996749575</v>
      </c>
      <c r="GJ29" s="34">
        <f t="shared" si="26"/>
        <v>2623.6455459910685</v>
      </c>
      <c r="GK29" s="34">
        <f t="shared" si="27"/>
        <v>299.99718533860283</v>
      </c>
      <c r="GL29" s="34">
        <f t="shared" si="28"/>
        <v>-97942.422348396081</v>
      </c>
      <c r="GM29" s="34">
        <f t="shared" si="29"/>
        <v>97942.881792312022</v>
      </c>
      <c r="GN29" s="55">
        <f t="shared" si="1"/>
        <v>600.00562932279433</v>
      </c>
      <c r="GO29" s="55">
        <f t="shared" si="2"/>
        <v>1.8378144594368722</v>
      </c>
      <c r="GP29" s="34">
        <f t="shared" si="30"/>
        <v>600.00844392477495</v>
      </c>
      <c r="GQ29" s="55">
        <f t="shared" si="31"/>
        <v>599.99437067720567</v>
      </c>
      <c r="GR29" s="55">
        <f t="shared" si="32"/>
        <v>-1.8378144594368724</v>
      </c>
      <c r="GS29" s="34">
        <f t="shared" si="33"/>
        <v>599.99718533200087</v>
      </c>
      <c r="GT29" s="56">
        <f t="shared" si="34"/>
        <v>609.83683549058298</v>
      </c>
      <c r="GU29" s="56">
        <f t="shared" si="35"/>
        <v>68.791195916596536</v>
      </c>
      <c r="GV29" s="34">
        <f t="shared" si="36"/>
        <v>613.70448471296345</v>
      </c>
      <c r="GW29" s="30">
        <f t="shared" si="37"/>
        <v>590.16021947784907</v>
      </c>
      <c r="GX29" s="30">
        <f t="shared" si="3"/>
        <v>-68.789553540809322</v>
      </c>
      <c r="GY29" s="34">
        <f t="shared" si="38"/>
        <v>594.15577698991274</v>
      </c>
      <c r="GZ29" s="34">
        <f t="shared" si="4"/>
        <v>599.99705496843205</v>
      </c>
      <c r="HA29" s="34">
        <f t="shared" si="5"/>
        <v>1.6423757872132683E-3</v>
      </c>
      <c r="HB29" s="34">
        <f t="shared" si="39"/>
        <v>599.99705497067987</v>
      </c>
      <c r="HC29" s="33">
        <f t="shared" si="6"/>
        <v>0.98360487987127088</v>
      </c>
      <c r="HD29" s="33">
        <f t="shared" si="7"/>
        <v>-0.11465251107485444</v>
      </c>
      <c r="HE29" s="33">
        <f t="shared" si="40"/>
        <v>0.99026448891311203</v>
      </c>
      <c r="HF29" s="33">
        <f t="shared" si="41"/>
        <v>0.94301524005393911</v>
      </c>
      <c r="HG29" s="33">
        <f t="shared" si="8"/>
        <v>-0.21917772918435574</v>
      </c>
      <c r="HH29" s="33">
        <f t="shared" si="42"/>
        <v>0.96815113486707183</v>
      </c>
      <c r="HI29" s="30">
        <f t="shared" si="56"/>
        <v>0.94233504582549277</v>
      </c>
      <c r="HJ29" s="30">
        <f t="shared" si="43"/>
        <v>-0.22206415122011164</v>
      </c>
      <c r="HK29" s="33">
        <f t="shared" si="44"/>
        <v>0.96814659316037577</v>
      </c>
      <c r="HL29" s="61">
        <f t="shared" si="45"/>
        <v>0.94163719526038725</v>
      </c>
      <c r="HM29" s="61">
        <f t="shared" si="46"/>
        <v>-0.22494629814956069</v>
      </c>
      <c r="HN29" s="33">
        <f t="shared" si="47"/>
        <v>0.96813296842377994</v>
      </c>
      <c r="HO29" s="30">
        <f t="shared" si="48"/>
        <v>-0.28113682252354188</v>
      </c>
      <c r="HP29" s="30">
        <f t="shared" si="49"/>
        <v>1.6007463035233593E-4</v>
      </c>
      <c r="HQ29" s="29">
        <v>13</v>
      </c>
      <c r="HR29" s="30">
        <v>81.681408993334628</v>
      </c>
      <c r="HS29" s="30">
        <f t="shared" si="50"/>
        <v>-0.28129689715389422</v>
      </c>
      <c r="HT29" s="30">
        <f t="shared" si="51"/>
        <v>-0.28129980658283976</v>
      </c>
      <c r="HU29" s="30">
        <f t="shared" si="52"/>
        <v>-2.9094289455411371E-6</v>
      </c>
      <c r="HV29" s="30">
        <f t="shared" si="53"/>
        <v>19.631337117041586</v>
      </c>
      <c r="HW29" s="30">
        <f t="shared" si="9"/>
        <v>19.631340468690521</v>
      </c>
      <c r="HX29" s="73">
        <f t="shared" si="10"/>
        <v>-2.9450293201307431E-3</v>
      </c>
      <c r="HY29" s="30">
        <f t="shared" si="54"/>
        <v>19.631500101100883</v>
      </c>
      <c r="HZ29" s="74">
        <f t="shared" si="55"/>
        <v>-3.3516489352791723E-6</v>
      </c>
    </row>
    <row r="30" spans="1:244" ht="15" customHeight="1">
      <c r="AI30" s="43" t="s">
        <v>38</v>
      </c>
      <c r="AJ30" s="136">
        <f>FP11</f>
        <v>490.90909090909093</v>
      </c>
      <c r="AK30" s="136"/>
      <c r="AL30" s="136"/>
      <c r="AM30" s="136"/>
      <c r="AN30" s="30" t="s">
        <v>43</v>
      </c>
      <c r="AW30" s="137" t="s">
        <v>13</v>
      </c>
      <c r="AX30" s="137"/>
      <c r="AY30" s="138" t="s">
        <v>20</v>
      </c>
      <c r="AZ30" s="138"/>
      <c r="BA30" s="138"/>
      <c r="BB30" s="138"/>
      <c r="BC30" s="138"/>
      <c r="BD30" s="138"/>
      <c r="BE30" s="139" t="s">
        <v>33</v>
      </c>
      <c r="BF30" s="138" t="s">
        <v>35</v>
      </c>
      <c r="BG30" s="138"/>
      <c r="BH30" s="138"/>
      <c r="BI30" s="138"/>
      <c r="BJ30" s="138"/>
      <c r="BK30" s="138"/>
      <c r="BL30" s="138"/>
      <c r="BM30" s="138"/>
      <c r="BN30" s="138"/>
      <c r="BO30" s="138"/>
      <c r="BP30" s="138"/>
      <c r="BQ30" s="138"/>
      <c r="BR30" s="139" t="s">
        <v>33</v>
      </c>
      <c r="BS30" s="138" t="s">
        <v>93</v>
      </c>
      <c r="BT30" s="138"/>
      <c r="BU30" s="138"/>
      <c r="BV30" s="138"/>
      <c r="BW30" s="138"/>
      <c r="BX30" s="138"/>
      <c r="BY30" s="138"/>
      <c r="BZ30" s="138"/>
      <c r="CA30" s="138"/>
      <c r="CB30" s="138"/>
      <c r="CC30" s="138"/>
      <c r="CD30" s="140" t="s">
        <v>91</v>
      </c>
      <c r="CE30" s="157" t="s">
        <v>94</v>
      </c>
      <c r="CF30" s="157"/>
      <c r="CG30" s="157"/>
      <c r="CH30" s="157"/>
      <c r="CI30" s="157"/>
      <c r="CJ30" s="157"/>
      <c r="CK30" s="157"/>
      <c r="CL30" s="157"/>
      <c r="CM30" s="139" t="s">
        <v>33</v>
      </c>
      <c r="CN30" s="157">
        <f>AJ30*(2*AJ30*AJ35+AJ35^2+(AJ43*AJ37)^2)</f>
        <v>5725607.9637799691</v>
      </c>
      <c r="CO30" s="157"/>
      <c r="CP30" s="157"/>
      <c r="CQ30" s="157"/>
      <c r="CR30" s="140" t="s">
        <v>91</v>
      </c>
      <c r="CS30" s="138">
        <f>2*AJ30^2*AJ43*AJ37</f>
        <v>52052598.157364614</v>
      </c>
      <c r="CT30" s="138"/>
      <c r="CU30" s="138"/>
      <c r="CV30" s="138"/>
      <c r="CW30" s="139" t="s">
        <v>33</v>
      </c>
      <c r="CX30" s="145">
        <f>CN30/CN31</f>
        <v>5.8686250797822499</v>
      </c>
      <c r="CY30" s="146"/>
      <c r="CZ30" s="146"/>
      <c r="DA30" s="147"/>
      <c r="DB30" s="115" t="s">
        <v>91</v>
      </c>
      <c r="DC30" s="151">
        <f>CS30/CS31</f>
        <v>53.35279413934331</v>
      </c>
      <c r="DD30" s="152"/>
      <c r="DE30" s="152"/>
      <c r="DF30" s="153"/>
      <c r="DG30" s="108" t="s">
        <v>33</v>
      </c>
      <c r="DH30" s="108" t="s">
        <v>95</v>
      </c>
      <c r="DI30" s="108"/>
      <c r="DJ30" s="115" t="s">
        <v>96</v>
      </c>
      <c r="DK30" s="108" t="s">
        <v>97</v>
      </c>
      <c r="DL30" s="108"/>
      <c r="FO30" s="43" t="s">
        <v>226</v>
      </c>
      <c r="FP30" s="30">
        <f t="shared" si="11"/>
        <v>299.99916725559598</v>
      </c>
      <c r="FT30" s="29">
        <v>15</v>
      </c>
      <c r="FU30" s="27">
        <f t="shared" si="12"/>
        <v>94.247779607693786</v>
      </c>
      <c r="FV30" s="30">
        <f t="shared" si="13"/>
        <v>13.009994717893873</v>
      </c>
      <c r="FW30" s="30">
        <f t="shared" si="14"/>
        <v>78.850901815602128</v>
      </c>
      <c r="FX30" s="34">
        <f t="shared" si="15"/>
        <v>79.91698617749141</v>
      </c>
      <c r="FY30" s="30">
        <f t="shared" si="16"/>
        <v>238.94954809559854</v>
      </c>
      <c r="FZ30" s="30">
        <f t="shared" si="17"/>
        <v>-39.425450907801064</v>
      </c>
      <c r="GA30" s="34">
        <f t="shared" si="18"/>
        <v>242.1802071069686</v>
      </c>
      <c r="GB30" s="34">
        <f t="shared" si="19"/>
        <v>7.4946372249292941E-3</v>
      </c>
      <c r="GC30" s="34">
        <f t="shared" si="20"/>
        <v>2.1205485529387067</v>
      </c>
      <c r="GD30" s="34">
        <f t="shared" si="21"/>
        <v>2.1205617970145498</v>
      </c>
      <c r="GE30" s="55">
        <f t="shared" si="22"/>
        <v>299.99625268138755</v>
      </c>
      <c r="GF30" s="55">
        <f t="shared" si="23"/>
        <v>-1.0602742764693533</v>
      </c>
      <c r="GG30" s="34">
        <f t="shared" si="24"/>
        <v>299.99812633484277</v>
      </c>
      <c r="GH30" s="30">
        <f t="shared" si="25"/>
        <v>360.21105509138027</v>
      </c>
      <c r="GI30" s="30">
        <f t="shared" si="0"/>
        <v>-2261.7166927592407</v>
      </c>
      <c r="GJ30" s="34">
        <f t="shared" si="26"/>
        <v>2290.2214745556471</v>
      </c>
      <c r="GK30" s="34">
        <f t="shared" si="27"/>
        <v>299.99625268138755</v>
      </c>
      <c r="GL30" s="34">
        <f t="shared" si="28"/>
        <v>-84883.696589953994</v>
      </c>
      <c r="GM30" s="34">
        <f t="shared" si="29"/>
        <v>84884.226712193064</v>
      </c>
      <c r="GN30" s="55">
        <f t="shared" si="1"/>
        <v>600.00749463722491</v>
      </c>
      <c r="GO30" s="55">
        <f t="shared" si="2"/>
        <v>2.1205485529387067</v>
      </c>
      <c r="GP30" s="34">
        <f t="shared" si="30"/>
        <v>600.0112418505214</v>
      </c>
      <c r="GQ30" s="55">
        <f t="shared" si="31"/>
        <v>599.99250536277509</v>
      </c>
      <c r="GR30" s="55">
        <f t="shared" si="32"/>
        <v>-2.1205485529387058</v>
      </c>
      <c r="GS30" s="34">
        <f t="shared" si="33"/>
        <v>599.99625266968553</v>
      </c>
      <c r="GT30" s="56">
        <f t="shared" si="34"/>
        <v>613.00999471789385</v>
      </c>
      <c r="GU30" s="56">
        <f t="shared" si="35"/>
        <v>78.850901815602128</v>
      </c>
      <c r="GV30" s="34">
        <f t="shared" si="36"/>
        <v>618.06044877598015</v>
      </c>
      <c r="GW30" s="30">
        <f t="shared" si="37"/>
        <v>586.98724791033544</v>
      </c>
      <c r="GX30" s="30">
        <f t="shared" si="3"/>
        <v>-78.849083849166476</v>
      </c>
      <c r="GY30" s="34">
        <f t="shared" si="38"/>
        <v>592.25940873337117</v>
      </c>
      <c r="GZ30" s="34">
        <f t="shared" si="4"/>
        <v>599.99724262822929</v>
      </c>
      <c r="HA30" s="34">
        <f t="shared" si="5"/>
        <v>1.8179664356523517E-3</v>
      </c>
      <c r="HB30" s="34">
        <f t="shared" si="39"/>
        <v>599.99724263098346</v>
      </c>
      <c r="HC30" s="33">
        <f t="shared" si="6"/>
        <v>0.97831617762824397</v>
      </c>
      <c r="HD30" s="33">
        <f t="shared" si="7"/>
        <v>-0.13141870794229382</v>
      </c>
      <c r="HE30" s="33">
        <f t="shared" si="40"/>
        <v>0.98710355090353097</v>
      </c>
      <c r="HF30" s="33">
        <f t="shared" si="41"/>
        <v>0.92569176221780602</v>
      </c>
      <c r="HG30" s="33">
        <f t="shared" si="8"/>
        <v>-0.24770045566614629</v>
      </c>
      <c r="HH30" s="33">
        <f t="shared" si="42"/>
        <v>0.95825923130180368</v>
      </c>
      <c r="HI30" s="30">
        <f t="shared" si="56"/>
        <v>0.92480476460653105</v>
      </c>
      <c r="HJ30" s="30">
        <f t="shared" si="43"/>
        <v>-0.25096898550245061</v>
      </c>
      <c r="HK30" s="33">
        <f t="shared" si="44"/>
        <v>0.95825324644535936</v>
      </c>
      <c r="HL30" s="61">
        <f t="shared" si="45"/>
        <v>0.92389470859011447</v>
      </c>
      <c r="HM30" s="61">
        <f t="shared" si="46"/>
        <v>-0.25423108253184001</v>
      </c>
      <c r="HN30" s="33">
        <f t="shared" si="47"/>
        <v>0.95823529254882056</v>
      </c>
      <c r="HO30" s="30">
        <f t="shared" si="48"/>
        <v>-0.3703397663535325</v>
      </c>
      <c r="HP30" s="30">
        <f t="shared" si="49"/>
        <v>2.1327812867449891E-4</v>
      </c>
      <c r="HQ30" s="29">
        <v>15</v>
      </c>
      <c r="HR30" s="30">
        <v>94.247779607693786</v>
      </c>
      <c r="HS30" s="30">
        <f t="shared" si="50"/>
        <v>-0.37055304448220699</v>
      </c>
      <c r="HT30" s="30">
        <f t="shared" si="51"/>
        <v>-0.37055675561586277</v>
      </c>
      <c r="HU30" s="30">
        <f t="shared" si="52"/>
        <v>-3.7111336557704711E-6</v>
      </c>
      <c r="HV30" s="30">
        <f t="shared" si="53"/>
        <v>19.542080168008564</v>
      </c>
      <c r="HW30" s="30">
        <f t="shared" si="9"/>
        <v>19.542084321362207</v>
      </c>
      <c r="HX30" s="73">
        <f t="shared" si="10"/>
        <v>-2.7573690165354492E-3</v>
      </c>
      <c r="HY30" s="30">
        <f t="shared" si="54"/>
        <v>19.542297157270895</v>
      </c>
      <c r="HZ30" s="74">
        <f t="shared" si="55"/>
        <v>-4.1533536432325491E-6</v>
      </c>
    </row>
    <row r="31" spans="1:244" ht="15" customHeight="1" thickBot="1">
      <c r="AI31" s="43" t="s">
        <v>39</v>
      </c>
      <c r="AJ31" s="136">
        <f t="shared" ref="AJ31:AJ38" si="57">FP12</f>
        <v>600</v>
      </c>
      <c r="AK31" s="136"/>
      <c r="AL31" s="136"/>
      <c r="AM31" s="136"/>
      <c r="AN31" s="30" t="s">
        <v>43</v>
      </c>
      <c r="AW31" s="137"/>
      <c r="AX31" s="137"/>
      <c r="AY31" s="139" t="s">
        <v>14</v>
      </c>
      <c r="AZ31" s="139"/>
      <c r="BA31" s="139"/>
      <c r="BB31" s="139"/>
      <c r="BC31" s="139"/>
      <c r="BD31" s="139"/>
      <c r="BE31" s="139"/>
      <c r="BF31" s="139" t="s">
        <v>34</v>
      </c>
      <c r="BG31" s="139"/>
      <c r="BH31" s="139"/>
      <c r="BI31" s="139"/>
      <c r="BJ31" s="139"/>
      <c r="BK31" s="139"/>
      <c r="BL31" s="139"/>
      <c r="BM31" s="139"/>
      <c r="BN31" s="139"/>
      <c r="BO31" s="139"/>
      <c r="BP31" s="139"/>
      <c r="BQ31" s="139"/>
      <c r="BR31" s="139"/>
      <c r="BS31" s="143" t="s">
        <v>34</v>
      </c>
      <c r="BT31" s="143"/>
      <c r="BU31" s="143"/>
      <c r="BV31" s="143"/>
      <c r="BW31" s="143"/>
      <c r="BX31" s="143"/>
      <c r="BY31" s="143"/>
      <c r="BZ31" s="143"/>
      <c r="CA31" s="143"/>
      <c r="CB31" s="143"/>
      <c r="CC31" s="143"/>
      <c r="CD31" s="139"/>
      <c r="CE31" s="143" t="s">
        <v>34</v>
      </c>
      <c r="CF31" s="143"/>
      <c r="CG31" s="143"/>
      <c r="CH31" s="143"/>
      <c r="CI31" s="143"/>
      <c r="CJ31" s="143"/>
      <c r="CK31" s="143"/>
      <c r="CL31" s="143"/>
      <c r="CM31" s="139"/>
      <c r="CN31" s="144">
        <f>(2*AJ30+AJ35)^2+(AJ43*AJ37)^2</f>
        <v>975630.21763053443</v>
      </c>
      <c r="CO31" s="144"/>
      <c r="CP31" s="144"/>
      <c r="CQ31" s="144"/>
      <c r="CR31" s="139"/>
      <c r="CS31" s="139">
        <f>CN31</f>
        <v>975630.21763053443</v>
      </c>
      <c r="CT31" s="139"/>
      <c r="CU31" s="139"/>
      <c r="CV31" s="139"/>
      <c r="CW31" s="139"/>
      <c r="CX31" s="148"/>
      <c r="CY31" s="149"/>
      <c r="CZ31" s="115"/>
      <c r="DA31" s="150"/>
      <c r="DB31" s="116"/>
      <c r="DC31" s="154"/>
      <c r="DD31" s="155"/>
      <c r="DE31" s="155"/>
      <c r="DF31" s="156"/>
      <c r="DG31" s="108"/>
      <c r="DH31" s="108"/>
      <c r="DI31" s="108"/>
      <c r="DJ31" s="116"/>
      <c r="DK31" s="108"/>
      <c r="DL31" s="108"/>
      <c r="FO31" s="43" t="s">
        <v>227</v>
      </c>
      <c r="FP31" s="30">
        <f t="shared" si="11"/>
        <v>3379.7548990109367</v>
      </c>
      <c r="FT31" s="29">
        <v>17</v>
      </c>
      <c r="FU31" s="27">
        <f t="shared" si="12"/>
        <v>106.81415022205297</v>
      </c>
      <c r="FV31" s="30">
        <f t="shared" si="13"/>
        <v>16.585588273252792</v>
      </c>
      <c r="FW31" s="30">
        <f t="shared" si="14"/>
        <v>88.69574016290268</v>
      </c>
      <c r="FX31" s="34">
        <f t="shared" si="15"/>
        <v>90.233120645442654</v>
      </c>
      <c r="FY31" s="30">
        <f t="shared" si="16"/>
        <v>237.16175131791908</v>
      </c>
      <c r="FZ31" s="30">
        <f t="shared" si="17"/>
        <v>-44.34787008145134</v>
      </c>
      <c r="GA31" s="34">
        <f t="shared" si="18"/>
        <v>241.27252199316808</v>
      </c>
      <c r="GB31" s="34">
        <f t="shared" si="19"/>
        <v>9.6264109439217847E-3</v>
      </c>
      <c r="GC31" s="34">
        <f t="shared" si="20"/>
        <v>2.4032798211122666</v>
      </c>
      <c r="GD31" s="34">
        <f t="shared" si="21"/>
        <v>2.4032991004768984</v>
      </c>
      <c r="GE31" s="55">
        <f t="shared" si="22"/>
        <v>299.99518679452802</v>
      </c>
      <c r="GF31" s="55">
        <f t="shared" si="23"/>
        <v>-1.2016399105561333</v>
      </c>
      <c r="GG31" s="34">
        <f t="shared" si="24"/>
        <v>299.997593387611</v>
      </c>
      <c r="GH31" s="30">
        <f t="shared" si="25"/>
        <v>358.41232166957258</v>
      </c>
      <c r="GI31" s="30">
        <f t="shared" si="0"/>
        <v>-2005.1930836942308</v>
      </c>
      <c r="GJ31" s="34">
        <f t="shared" si="26"/>
        <v>2036.9729245180831</v>
      </c>
      <c r="GK31" s="34">
        <f t="shared" si="27"/>
        <v>299.99518679452802</v>
      </c>
      <c r="GL31" s="34">
        <f t="shared" si="28"/>
        <v>-74897.645447861301</v>
      </c>
      <c r="GM31" s="34">
        <f t="shared" si="29"/>
        <v>74898.246246128067</v>
      </c>
      <c r="GN31" s="55">
        <f t="shared" si="1"/>
        <v>600.00962641094395</v>
      </c>
      <c r="GO31" s="55">
        <f t="shared" si="2"/>
        <v>2.4032798211122666</v>
      </c>
      <c r="GP31" s="34">
        <f t="shared" si="30"/>
        <v>600.01443944266794</v>
      </c>
      <c r="GQ31" s="55">
        <f t="shared" si="31"/>
        <v>599.99037358905605</v>
      </c>
      <c r="GR31" s="55">
        <f t="shared" si="32"/>
        <v>-2.4032798211122666</v>
      </c>
      <c r="GS31" s="34">
        <f t="shared" si="33"/>
        <v>599.99518677522201</v>
      </c>
      <c r="GT31" s="56">
        <f t="shared" si="34"/>
        <v>616.58558827325271</v>
      </c>
      <c r="GU31" s="56">
        <f t="shared" si="35"/>
        <v>88.69574016290268</v>
      </c>
      <c r="GV31" s="34">
        <f t="shared" si="36"/>
        <v>622.93235747496556</v>
      </c>
      <c r="GW31" s="30">
        <f t="shared" si="37"/>
        <v>583.41185348816282</v>
      </c>
      <c r="GX31" s="30">
        <f t="shared" si="3"/>
        <v>-88.693773269110338</v>
      </c>
      <c r="GY31" s="34">
        <f t="shared" si="38"/>
        <v>590.11522282280259</v>
      </c>
      <c r="GZ31" s="34">
        <f t="shared" si="4"/>
        <v>599.99744176141564</v>
      </c>
      <c r="HA31" s="34">
        <f t="shared" si="5"/>
        <v>1.9668937923427166E-3</v>
      </c>
      <c r="HB31" s="34">
        <f t="shared" si="39"/>
        <v>599.99744176463958</v>
      </c>
      <c r="HC31" s="33">
        <f t="shared" si="6"/>
        <v>0.97235675041526137</v>
      </c>
      <c r="HD31" s="33">
        <f t="shared" si="7"/>
        <v>-0.1478267732795365</v>
      </c>
      <c r="HE31" s="33">
        <f t="shared" si="40"/>
        <v>0.98352956487152243</v>
      </c>
      <c r="HF31" s="33">
        <f t="shared" si="41"/>
        <v>0.9067453115527484</v>
      </c>
      <c r="HG31" s="33">
        <f t="shared" si="8"/>
        <v>-0.27428553915565318</v>
      </c>
      <c r="HH31" s="33">
        <f t="shared" si="42"/>
        <v>0.94732234060682752</v>
      </c>
      <c r="HI31" s="30">
        <f t="shared" si="56"/>
        <v>0.90563212221197142</v>
      </c>
      <c r="HJ31" s="30">
        <f t="shared" si="43"/>
        <v>-0.27791307636369816</v>
      </c>
      <c r="HK31" s="33">
        <f t="shared" si="44"/>
        <v>0.94731474114789005</v>
      </c>
      <c r="HL31" s="61">
        <f t="shared" si="45"/>
        <v>0.9044899457499499</v>
      </c>
      <c r="HM31" s="61">
        <f t="shared" si="46"/>
        <v>-0.28153146352612851</v>
      </c>
      <c r="HN31" s="33">
        <f t="shared" si="47"/>
        <v>0.9472919438683679</v>
      </c>
      <c r="HO31" s="30">
        <f t="shared" si="48"/>
        <v>-0.47004441302506694</v>
      </c>
      <c r="HP31" s="30">
        <f t="shared" si="49"/>
        <v>2.7416490554216244E-4</v>
      </c>
      <c r="HQ31" s="29">
        <v>17</v>
      </c>
      <c r="HR31" s="30">
        <v>106.81415022205297</v>
      </c>
      <c r="HS31" s="30">
        <f t="shared" si="50"/>
        <v>-0.47031857793060911</v>
      </c>
      <c r="HT31" s="30">
        <f t="shared" si="51"/>
        <v>-0.47032312169712065</v>
      </c>
      <c r="HU31" s="30">
        <f t="shared" si="52"/>
        <v>-4.5437665115444226E-6</v>
      </c>
      <c r="HV31" s="30">
        <f t="shared" si="53"/>
        <v>19.442313801927305</v>
      </c>
      <c r="HW31" s="30">
        <f t="shared" si="9"/>
        <v>19.442318787913806</v>
      </c>
      <c r="HX31" s="73">
        <f t="shared" si="10"/>
        <v>-2.5582353604249874E-3</v>
      </c>
      <c r="HY31" s="30">
        <f t="shared" si="54"/>
        <v>19.442592510599358</v>
      </c>
      <c r="HZ31" s="74">
        <f t="shared" si="55"/>
        <v>-4.9859865001167236E-6</v>
      </c>
    </row>
    <row r="32" spans="1:244" ht="15" customHeight="1">
      <c r="AI32" s="43" t="s">
        <v>40</v>
      </c>
      <c r="AJ32" s="136">
        <f t="shared" si="57"/>
        <v>121.21212121212122</v>
      </c>
      <c r="AK32" s="136"/>
      <c r="AL32" s="136"/>
      <c r="AM32" s="136"/>
      <c r="AN32" s="30" t="s">
        <v>43</v>
      </c>
      <c r="AW32" s="137" t="s">
        <v>15</v>
      </c>
      <c r="AX32" s="137"/>
      <c r="AY32" s="141" t="s">
        <v>16</v>
      </c>
      <c r="AZ32" s="141"/>
      <c r="BA32" s="141"/>
      <c r="BB32" s="141"/>
      <c r="BC32" s="141"/>
      <c r="BD32" s="141"/>
      <c r="BE32" s="142" t="s">
        <v>33</v>
      </c>
      <c r="BF32" s="141" t="s">
        <v>89</v>
      </c>
      <c r="BG32" s="141"/>
      <c r="BH32" s="141"/>
      <c r="BI32" s="141"/>
      <c r="BJ32" s="141"/>
      <c r="BK32" s="141"/>
      <c r="BL32" s="141"/>
      <c r="BM32" s="141"/>
      <c r="BN32" s="141"/>
      <c r="BO32" s="141"/>
      <c r="BP32" s="141"/>
      <c r="BQ32" s="141"/>
      <c r="BR32" s="142" t="s">
        <v>33</v>
      </c>
      <c r="BS32" s="141" t="s">
        <v>90</v>
      </c>
      <c r="BT32" s="141"/>
      <c r="BU32" s="141"/>
      <c r="BV32" s="141"/>
      <c r="BW32" s="141"/>
      <c r="BX32" s="141"/>
      <c r="BY32" s="141"/>
      <c r="BZ32" s="141"/>
      <c r="CA32" s="160" t="s">
        <v>91</v>
      </c>
      <c r="CB32" s="161" t="s">
        <v>92</v>
      </c>
      <c r="CC32" s="161"/>
      <c r="CD32" s="161"/>
      <c r="CE32" s="161"/>
      <c r="CF32" s="161"/>
      <c r="CG32" s="161"/>
      <c r="CH32" s="161"/>
      <c r="CI32" s="14"/>
      <c r="CJ32" s="104" t="s">
        <v>33</v>
      </c>
      <c r="CK32" s="106">
        <f>AJ30^2*(2*AJ30+AJ35)</f>
        <v>236610067.61833212</v>
      </c>
      <c r="CL32" s="106"/>
      <c r="CM32" s="106"/>
      <c r="CN32" s="106"/>
      <c r="CO32" s="107" t="s">
        <v>91</v>
      </c>
      <c r="CP32" s="106">
        <f>-(AJ30^2*AJ43*AJ37)</f>
        <v>-26026299.078682307</v>
      </c>
      <c r="CQ32" s="106"/>
      <c r="CR32" s="106"/>
      <c r="CS32" s="106"/>
      <c r="CT32" s="104" t="s">
        <v>33</v>
      </c>
      <c r="CU32" s="151">
        <f>CK32/CK33</f>
        <v>242.52023291465434</v>
      </c>
      <c r="CV32" s="152"/>
      <c r="CW32" s="152"/>
      <c r="CX32" s="153"/>
      <c r="CY32" s="115" t="s">
        <v>91</v>
      </c>
      <c r="CZ32" s="151">
        <f>CP32/CP33</f>
        <v>-26.676397069671655</v>
      </c>
      <c r="DA32" s="152"/>
      <c r="DB32" s="152"/>
      <c r="DC32" s="153"/>
      <c r="DD32" s="108" t="s">
        <v>33</v>
      </c>
      <c r="DE32" s="108" t="s">
        <v>98</v>
      </c>
      <c r="DF32" s="108"/>
      <c r="DG32" s="115" t="s">
        <v>96</v>
      </c>
      <c r="DH32" s="108" t="s">
        <v>99</v>
      </c>
      <c r="DI32" s="108"/>
      <c r="FO32" s="43" t="s">
        <v>228</v>
      </c>
      <c r="FP32" s="30">
        <f>SQRT(FP54^2+FR54^2)</f>
        <v>127325.01475073589</v>
      </c>
      <c r="FT32" s="29">
        <v>20</v>
      </c>
      <c r="FU32" s="27">
        <f t="shared" si="12"/>
        <v>125.66370614359172</v>
      </c>
      <c r="FV32" s="30">
        <f t="shared" si="13"/>
        <v>22.661762933924983</v>
      </c>
      <c r="FW32" s="30">
        <f t="shared" si="14"/>
        <v>103.01121269559459</v>
      </c>
      <c r="FX32" s="34">
        <f t="shared" si="15"/>
        <v>105.47447767251775</v>
      </c>
      <c r="FY32" s="30">
        <f t="shared" si="16"/>
        <v>234.12366398758297</v>
      </c>
      <c r="FZ32" s="30">
        <f t="shared" si="17"/>
        <v>-51.505606347797297</v>
      </c>
      <c r="GA32" s="34">
        <f t="shared" si="18"/>
        <v>239.72216736093662</v>
      </c>
      <c r="GB32" s="34">
        <f t="shared" si="19"/>
        <v>1.3323670067926964E-2</v>
      </c>
      <c r="GC32" s="34">
        <f t="shared" si="20"/>
        <v>2.827370601914807</v>
      </c>
      <c r="GD32" s="34">
        <f t="shared" si="21"/>
        <v>2.8274019948985281</v>
      </c>
      <c r="GE32" s="55">
        <f t="shared" si="22"/>
        <v>299.99333816496602</v>
      </c>
      <c r="GF32" s="55">
        <f t="shared" si="23"/>
        <v>-1.4136853009574035</v>
      </c>
      <c r="GG32" s="34">
        <f t="shared" si="24"/>
        <v>299.99666906399113</v>
      </c>
      <c r="GH32" s="30">
        <f t="shared" si="25"/>
        <v>355.36356470301922</v>
      </c>
      <c r="GI32" s="30">
        <f t="shared" si="0"/>
        <v>-1718.2240380964924</v>
      </c>
      <c r="GJ32" s="34">
        <f t="shared" si="26"/>
        <v>1754.5874467267379</v>
      </c>
      <c r="GK32" s="34">
        <f t="shared" si="27"/>
        <v>299.99333816496602</v>
      </c>
      <c r="GL32" s="34">
        <f t="shared" si="28"/>
        <v>-63663.390922059101</v>
      </c>
      <c r="GM32" s="34">
        <f t="shared" si="29"/>
        <v>63664.097729394241</v>
      </c>
      <c r="GN32" s="55">
        <f t="shared" si="1"/>
        <v>600.01332367006796</v>
      </c>
      <c r="GO32" s="55">
        <f t="shared" si="2"/>
        <v>2.827370601914807</v>
      </c>
      <c r="GP32" s="34">
        <f t="shared" si="30"/>
        <v>600.01998517226264</v>
      </c>
      <c r="GQ32" s="55">
        <f t="shared" si="31"/>
        <v>599.98667632993227</v>
      </c>
      <c r="GR32" s="55">
        <f t="shared" si="32"/>
        <v>-2.8273706019148102</v>
      </c>
      <c r="GS32" s="34">
        <f t="shared" si="33"/>
        <v>599.99333812798238</v>
      </c>
      <c r="GT32" s="56">
        <f t="shared" si="34"/>
        <v>622.66176293392516</v>
      </c>
      <c r="GU32" s="56">
        <f t="shared" si="35"/>
        <v>103.01121269559459</v>
      </c>
      <c r="GV32" s="34">
        <f t="shared" si="36"/>
        <v>631.12517059692732</v>
      </c>
      <c r="GW32" s="30">
        <f t="shared" si="37"/>
        <v>577.3359896847503</v>
      </c>
      <c r="GX32" s="30">
        <f t="shared" si="3"/>
        <v>-103.00907244172247</v>
      </c>
      <c r="GY32" s="34">
        <f t="shared" si="38"/>
        <v>586.45350539541846</v>
      </c>
      <c r="GZ32" s="34">
        <f t="shared" si="4"/>
        <v>599.99775261867524</v>
      </c>
      <c r="HA32" s="34">
        <f t="shared" si="5"/>
        <v>2.1402538721275732E-3</v>
      </c>
      <c r="HB32" s="34">
        <f t="shared" si="39"/>
        <v>599.9977526224925</v>
      </c>
      <c r="HC32" s="33">
        <f t="shared" si="6"/>
        <v>0.96222964121723897</v>
      </c>
      <c r="HD32" s="33">
        <f t="shared" si="7"/>
        <v>-0.17168586283506634</v>
      </c>
      <c r="HE32" s="33">
        <f t="shared" si="40"/>
        <v>0.9774261700683472</v>
      </c>
      <c r="HF32" s="33">
        <f t="shared" si="41"/>
        <v>0.87586793038799027</v>
      </c>
      <c r="HG32" s="33">
        <f t="shared" si="8"/>
        <v>-0.31033820747395557</v>
      </c>
      <c r="HH32" s="33">
        <f t="shared" si="42"/>
        <v>0.92922248923510742</v>
      </c>
      <c r="HI32" s="30">
        <f t="shared" si="56"/>
        <v>0.87438607888833952</v>
      </c>
      <c r="HJ32" s="30">
        <f t="shared" si="43"/>
        <v>-0.31445865479671076</v>
      </c>
      <c r="HK32" s="33">
        <f t="shared" si="44"/>
        <v>0.92921217196627515</v>
      </c>
      <c r="HL32" s="61">
        <f t="shared" si="45"/>
        <v>0.87286552815268081</v>
      </c>
      <c r="HM32" s="61">
        <f t="shared" si="46"/>
        <v>-0.31856477126640426</v>
      </c>
      <c r="HN32" s="33">
        <f t="shared" si="47"/>
        <v>0.92918122222162614</v>
      </c>
      <c r="HO32" s="30">
        <f t="shared" si="48"/>
        <v>-0.6376057571924455</v>
      </c>
      <c r="HP32" s="30">
        <f t="shared" si="49"/>
        <v>3.7994937287078034E-4</v>
      </c>
      <c r="HQ32" s="29">
        <v>20</v>
      </c>
      <c r="HR32" s="30">
        <v>125.66370614359172</v>
      </c>
      <c r="HS32" s="30">
        <f t="shared" si="50"/>
        <v>-0.63798570656531628</v>
      </c>
      <c r="HT32" s="30">
        <f t="shared" si="51"/>
        <v>-0.63799150838594576</v>
      </c>
      <c r="HU32" s="30">
        <f t="shared" si="52"/>
        <v>-5.8018206294807584E-6</v>
      </c>
      <c r="HV32" s="30">
        <f t="shared" si="53"/>
        <v>19.274645415238481</v>
      </c>
      <c r="HW32" s="30">
        <f t="shared" si="9"/>
        <v>19.274651659279098</v>
      </c>
      <c r="HX32" s="73">
        <f t="shared" si="10"/>
        <v>-2.2473775075013691E-3</v>
      </c>
      <c r="HY32" s="30">
        <f t="shared" si="54"/>
        <v>19.27503116643198</v>
      </c>
      <c r="HZ32" s="74">
        <f t="shared" si="55"/>
        <v>-6.2440406161101691E-6</v>
      </c>
    </row>
    <row r="33" spans="1:234" ht="15" customHeight="1" thickBot="1">
      <c r="AI33" s="43" t="s">
        <v>41</v>
      </c>
      <c r="AJ33" s="136">
        <f t="shared" si="57"/>
        <v>100000000</v>
      </c>
      <c r="AK33" s="136"/>
      <c r="AL33" s="136"/>
      <c r="AM33" s="136"/>
      <c r="AN33" s="30" t="s">
        <v>43</v>
      </c>
      <c r="AW33" s="137"/>
      <c r="AX33" s="137"/>
      <c r="AY33" s="142" t="s">
        <v>14</v>
      </c>
      <c r="AZ33" s="142"/>
      <c r="BA33" s="142"/>
      <c r="BB33" s="142"/>
      <c r="BC33" s="142"/>
      <c r="BD33" s="142"/>
      <c r="BE33" s="142"/>
      <c r="BF33" s="142" t="s">
        <v>34</v>
      </c>
      <c r="BG33" s="142"/>
      <c r="BH33" s="142"/>
      <c r="BI33" s="142"/>
      <c r="BJ33" s="142"/>
      <c r="BK33" s="142"/>
      <c r="BL33" s="142"/>
      <c r="BM33" s="142"/>
      <c r="BN33" s="142"/>
      <c r="BO33" s="142"/>
      <c r="BP33" s="142"/>
      <c r="BQ33" s="142"/>
      <c r="BR33" s="142"/>
      <c r="BS33" s="158" t="s">
        <v>88</v>
      </c>
      <c r="BT33" s="158"/>
      <c r="BU33" s="158"/>
      <c r="BV33" s="158"/>
      <c r="BW33" s="158"/>
      <c r="BX33" s="158"/>
      <c r="BY33" s="158"/>
      <c r="BZ33" s="158"/>
      <c r="CA33" s="142"/>
      <c r="CB33" s="158" t="s">
        <v>88</v>
      </c>
      <c r="CC33" s="158"/>
      <c r="CD33" s="158"/>
      <c r="CE33" s="158"/>
      <c r="CF33" s="158"/>
      <c r="CG33" s="158"/>
      <c r="CH33" s="158"/>
      <c r="CI33" s="158"/>
      <c r="CJ33" s="104"/>
      <c r="CK33" s="108">
        <f>CN31</f>
        <v>975630.21763053443</v>
      </c>
      <c r="CL33" s="108"/>
      <c r="CM33" s="108"/>
      <c r="CN33" s="108"/>
      <c r="CO33" s="104"/>
      <c r="CP33" s="108">
        <f>CK33</f>
        <v>975630.21763053443</v>
      </c>
      <c r="CQ33" s="108"/>
      <c r="CR33" s="108"/>
      <c r="CS33" s="108"/>
      <c r="CT33" s="104"/>
      <c r="CU33" s="159"/>
      <c r="CV33" s="155"/>
      <c r="CW33" s="155"/>
      <c r="CX33" s="156"/>
      <c r="CY33" s="116"/>
      <c r="CZ33" s="159"/>
      <c r="DA33" s="155"/>
      <c r="DB33" s="155"/>
      <c r="DC33" s="156"/>
      <c r="DD33" s="108"/>
      <c r="DE33" s="108"/>
      <c r="DF33" s="108"/>
      <c r="DG33" s="116"/>
      <c r="DH33" s="108"/>
      <c r="DI33" s="108"/>
      <c r="FO33" s="43" t="s">
        <v>229</v>
      </c>
      <c r="FP33" s="30">
        <f t="shared" si="11"/>
        <v>600.00499643868591</v>
      </c>
      <c r="FT33" s="29">
        <v>25</v>
      </c>
      <c r="FU33" s="27">
        <f t="shared" si="12"/>
        <v>157.07963267948966</v>
      </c>
      <c r="FV33" s="30">
        <f t="shared" si="13"/>
        <v>34.512823778311059</v>
      </c>
      <c r="FW33" s="30">
        <f t="shared" si="14"/>
        <v>125.50507535778618</v>
      </c>
      <c r="FX33" s="34">
        <f t="shared" si="15"/>
        <v>130.16396946050909</v>
      </c>
      <c r="FY33" s="30">
        <f t="shared" si="16"/>
        <v>228.19813356538995</v>
      </c>
      <c r="FZ33" s="30">
        <f t="shared" si="17"/>
        <v>-62.752537678893091</v>
      </c>
      <c r="GA33" s="34">
        <f t="shared" si="18"/>
        <v>236.66911321055068</v>
      </c>
      <c r="GB33" s="34">
        <f t="shared" si="19"/>
        <v>2.0817974445051832E-2</v>
      </c>
      <c r="GC33" s="34">
        <f t="shared" si="20"/>
        <v>3.5341691072968064</v>
      </c>
      <c r="GD33" s="34">
        <f t="shared" si="21"/>
        <v>3.5342304207608053</v>
      </c>
      <c r="GE33" s="55">
        <f t="shared" si="22"/>
        <v>299.98959101277745</v>
      </c>
      <c r="GF33" s="55">
        <f t="shared" si="23"/>
        <v>-1.7670845536484032</v>
      </c>
      <c r="GG33" s="34">
        <f t="shared" si="24"/>
        <v>299.99479546124337</v>
      </c>
      <c r="GH33" s="30">
        <f t="shared" si="25"/>
        <v>349.42803365963454</v>
      </c>
      <c r="GI33" s="30">
        <f t="shared" si="0"/>
        <v>-1396.1272832111949</v>
      </c>
      <c r="GJ33" s="34">
        <f t="shared" si="26"/>
        <v>1439.1912109354721</v>
      </c>
      <c r="GK33" s="34">
        <f t="shared" si="27"/>
        <v>299.98959101277745</v>
      </c>
      <c r="GL33" s="34">
        <f t="shared" si="28"/>
        <v>-50931.34887396016</v>
      </c>
      <c r="GM33" s="34">
        <f t="shared" si="29"/>
        <v>50932.232347264719</v>
      </c>
      <c r="GN33" s="55">
        <f t="shared" si="1"/>
        <v>600.02081797444509</v>
      </c>
      <c r="GO33" s="55">
        <f t="shared" si="2"/>
        <v>3.5341691072968064</v>
      </c>
      <c r="GP33" s="34">
        <f t="shared" si="30"/>
        <v>600.03122614910728</v>
      </c>
      <c r="GQ33" s="55">
        <f t="shared" si="31"/>
        <v>599.97918202555513</v>
      </c>
      <c r="GR33" s="55">
        <f t="shared" si="32"/>
        <v>-3.5341691072968064</v>
      </c>
      <c r="GS33" s="34">
        <f t="shared" si="33"/>
        <v>599.98959092248697</v>
      </c>
      <c r="GT33" s="56">
        <f t="shared" si="34"/>
        <v>634.51282377831126</v>
      </c>
      <c r="GU33" s="56">
        <f t="shared" si="35"/>
        <v>125.50507535778618</v>
      </c>
      <c r="GV33" s="34">
        <f t="shared" si="36"/>
        <v>646.80603543851532</v>
      </c>
      <c r="GW33" s="30">
        <f t="shared" si="37"/>
        <v>565.48544814411207</v>
      </c>
      <c r="GX33" s="30">
        <f t="shared" si="3"/>
        <v>-125.50277139563138</v>
      </c>
      <c r="GY33" s="34">
        <f t="shared" si="38"/>
        <v>579.24497208929779</v>
      </c>
      <c r="GZ33" s="34">
        <f t="shared" si="4"/>
        <v>599.9982719224231</v>
      </c>
      <c r="HA33" s="34">
        <f t="shared" si="5"/>
        <v>2.3039621547980005E-3</v>
      </c>
      <c r="HB33" s="34">
        <f t="shared" si="39"/>
        <v>599.99827192684666</v>
      </c>
      <c r="HC33" s="33">
        <f t="shared" si="6"/>
        <v>0.94247765814361273</v>
      </c>
      <c r="HD33" s="33">
        <f t="shared" si="7"/>
        <v>-0.20917550716665179</v>
      </c>
      <c r="HE33" s="33">
        <f t="shared" si="40"/>
        <v>0.96541106731707527</v>
      </c>
      <c r="HF33" s="33">
        <f t="shared" si="41"/>
        <v>0.82000799440265704</v>
      </c>
      <c r="HG33" s="33">
        <f t="shared" si="8"/>
        <v>-0.3599934640742426</v>
      </c>
      <c r="HH33" s="33">
        <f t="shared" si="42"/>
        <v>0.8955492197866296</v>
      </c>
      <c r="HI33" s="30">
        <f t="shared" si="56"/>
        <v>0.81785907992760332</v>
      </c>
      <c r="HJ33" s="30">
        <f t="shared" si="43"/>
        <v>-0.36481105171894057</v>
      </c>
      <c r="HK33" s="33">
        <f t="shared" si="44"/>
        <v>0.8955336833845533</v>
      </c>
      <c r="HL33" s="61">
        <f t="shared" si="45"/>
        <v>0.81565371567062572</v>
      </c>
      <c r="HM33" s="61">
        <f t="shared" si="46"/>
        <v>-0.36960265802808284</v>
      </c>
      <c r="HN33" s="33">
        <f t="shared" si="47"/>
        <v>0.89548707902946423</v>
      </c>
      <c r="HO33" s="30">
        <f t="shared" si="48"/>
        <v>-0.95821080279125681</v>
      </c>
      <c r="HP33" s="30">
        <f t="shared" si="49"/>
        <v>5.949548834129903E-4</v>
      </c>
      <c r="HQ33" s="29">
        <v>25</v>
      </c>
      <c r="HR33" s="30">
        <v>157.07963267948966</v>
      </c>
      <c r="HS33" s="30">
        <f t="shared" si="50"/>
        <v>-0.9588057576746698</v>
      </c>
      <c r="HT33" s="30">
        <f t="shared" si="51"/>
        <v>-0.95881352397489505</v>
      </c>
      <c r="HU33" s="30">
        <f t="shared" si="52"/>
        <v>-7.7663002252537083E-6</v>
      </c>
      <c r="HV33" s="30">
        <f t="shared" si="53"/>
        <v>18.953823399649529</v>
      </c>
      <c r="HW33" s="30">
        <f t="shared" si="9"/>
        <v>18.953831608169743</v>
      </c>
      <c r="HX33" s="73">
        <f t="shared" si="10"/>
        <v>-1.7280731533446669E-3</v>
      </c>
      <c r="HY33" s="30">
        <f t="shared" si="54"/>
        <v>18.954426120833169</v>
      </c>
      <c r="HZ33" s="74">
        <f t="shared" si="55"/>
        <v>-8.2085202137704982E-6</v>
      </c>
    </row>
    <row r="34" spans="1:234" ht="15" customHeight="1">
      <c r="AI34" s="43" t="s">
        <v>42</v>
      </c>
      <c r="AJ34" s="136">
        <f t="shared" si="57"/>
        <v>600</v>
      </c>
      <c r="AK34" s="136"/>
      <c r="AL34" s="136"/>
      <c r="AM34" s="136"/>
      <c r="AN34" s="30" t="s">
        <v>43</v>
      </c>
      <c r="AW34" s="137" t="s">
        <v>17</v>
      </c>
      <c r="AX34" s="137"/>
      <c r="AY34" s="105" t="s">
        <v>19</v>
      </c>
      <c r="AZ34" s="105"/>
      <c r="BA34" s="105"/>
      <c r="BB34" s="105"/>
      <c r="BC34" s="105"/>
      <c r="BD34" s="105"/>
      <c r="BE34" s="104" t="s">
        <v>33</v>
      </c>
      <c r="BF34" s="105" t="s">
        <v>36</v>
      </c>
      <c r="BG34" s="105"/>
      <c r="BH34" s="105"/>
      <c r="BI34" s="105"/>
      <c r="BJ34" s="105"/>
      <c r="BK34" s="105"/>
      <c r="BL34" s="105"/>
      <c r="BM34" s="105"/>
      <c r="BN34" s="105"/>
      <c r="BO34" s="105"/>
      <c r="BP34" s="105"/>
      <c r="BQ34" s="105"/>
      <c r="BR34" s="104" t="s">
        <v>33</v>
      </c>
      <c r="BS34" s="105" t="s">
        <v>55</v>
      </c>
      <c r="BT34" s="105"/>
      <c r="BU34" s="105"/>
      <c r="BV34" s="105"/>
      <c r="BW34" s="105"/>
      <c r="BX34" s="105"/>
      <c r="BY34" s="105"/>
      <c r="BZ34" s="105"/>
      <c r="CA34" s="105"/>
      <c r="CB34" s="105"/>
      <c r="CC34" s="105"/>
      <c r="CD34" s="105"/>
      <c r="CE34" s="105"/>
      <c r="CF34" s="105"/>
      <c r="CG34" s="105"/>
      <c r="CH34" s="104" t="s">
        <v>33</v>
      </c>
      <c r="CI34" s="105" t="s">
        <v>296</v>
      </c>
      <c r="CJ34" s="105"/>
      <c r="CK34" s="105"/>
      <c r="CL34" s="105"/>
      <c r="CM34" s="105"/>
      <c r="CN34" s="105"/>
      <c r="CO34" s="105"/>
      <c r="CP34" s="105"/>
      <c r="CQ34" s="105"/>
      <c r="CR34" s="105"/>
      <c r="CS34" s="105"/>
      <c r="CT34" s="119" t="s">
        <v>91</v>
      </c>
      <c r="CU34" s="163" t="s">
        <v>298</v>
      </c>
      <c r="CV34" s="163"/>
      <c r="CW34" s="163"/>
      <c r="CX34" s="163"/>
      <c r="CY34" s="163"/>
      <c r="CZ34" s="163"/>
      <c r="DA34" s="163"/>
      <c r="DB34" s="163"/>
      <c r="DC34" s="104" t="s">
        <v>33</v>
      </c>
      <c r="DD34" s="106">
        <f>AJ31*(2*AJ31*AJ36+AJ36^2+(AJ43*AJ38)^2)</f>
        <v>4796.6277389294273</v>
      </c>
      <c r="DE34" s="106"/>
      <c r="DF34" s="106"/>
      <c r="DG34" s="106"/>
      <c r="DH34" s="119" t="s">
        <v>91</v>
      </c>
      <c r="DI34" s="106">
        <f>2*AJ31^2*AJ43*AJ38</f>
        <v>2035752.0395261857</v>
      </c>
      <c r="DJ34" s="106"/>
      <c r="DK34" s="106"/>
      <c r="DL34" s="106"/>
      <c r="DM34" s="104" t="s">
        <v>33</v>
      </c>
      <c r="DN34" s="151">
        <f>DD34/DD35</f>
        <v>3.3309729929631954E-3</v>
      </c>
      <c r="DO34" s="152"/>
      <c r="DP34" s="152"/>
      <c r="DQ34" s="153"/>
      <c r="DR34" s="115" t="s">
        <v>91</v>
      </c>
      <c r="DS34" s="151">
        <f>DI34/DI35</f>
        <v>1.4137088456951938</v>
      </c>
      <c r="DT34" s="152"/>
      <c r="DU34" s="152"/>
      <c r="DV34" s="153"/>
      <c r="DW34" s="108" t="s">
        <v>33</v>
      </c>
      <c r="DX34" s="108" t="s">
        <v>100</v>
      </c>
      <c r="DY34" s="108"/>
      <c r="DZ34" s="115" t="s">
        <v>96</v>
      </c>
      <c r="EA34" s="108" t="s">
        <v>101</v>
      </c>
      <c r="EB34" s="108"/>
      <c r="FO34" s="43" t="s">
        <v>230</v>
      </c>
      <c r="FP34" s="30">
        <f>SQRT(FP56^2+FR56^2)</f>
        <v>608.2132122032051</v>
      </c>
      <c r="FT34" s="29">
        <v>30</v>
      </c>
      <c r="FU34" s="27">
        <f t="shared" si="12"/>
        <v>188.49555921538757</v>
      </c>
      <c r="FV34" s="30">
        <f t="shared" si="13"/>
        <v>48.207237248446596</v>
      </c>
      <c r="FW34" s="30">
        <f t="shared" si="14"/>
        <v>146.08707434179712</v>
      </c>
      <c r="FX34" s="34">
        <f t="shared" si="15"/>
        <v>153.83553234826397</v>
      </c>
      <c r="FY34" s="30">
        <f t="shared" si="16"/>
        <v>221.35092683032218</v>
      </c>
      <c r="FZ34" s="30">
        <f t="shared" si="17"/>
        <v>-73.04353717089856</v>
      </c>
      <c r="GA34" s="34">
        <f t="shared" si="18"/>
        <v>233.09137935813732</v>
      </c>
      <c r="GB34" s="34">
        <f t="shared" si="19"/>
        <v>2.9977425550070002E-2</v>
      </c>
      <c r="GC34" s="34">
        <f t="shared" si="20"/>
        <v>4.240938184411486</v>
      </c>
      <c r="GD34" s="34">
        <f t="shared" si="21"/>
        <v>4.2410441320554542</v>
      </c>
      <c r="GE34" s="55">
        <f t="shared" si="22"/>
        <v>299.98501128722495</v>
      </c>
      <c r="GF34" s="55">
        <f t="shared" si="23"/>
        <v>-2.120469092205743</v>
      </c>
      <c r="GG34" s="34">
        <f t="shared" si="24"/>
        <v>299.99250555000117</v>
      </c>
      <c r="GH34" s="30">
        <f t="shared" si="25"/>
        <v>342.57539448836309</v>
      </c>
      <c r="GI34" s="30">
        <f t="shared" si="0"/>
        <v>-1184.1891585081794</v>
      </c>
      <c r="GJ34" s="34">
        <f t="shared" si="26"/>
        <v>1232.745660725345</v>
      </c>
      <c r="GK34" s="34">
        <f t="shared" si="27"/>
        <v>299.98501128722495</v>
      </c>
      <c r="GL34" s="34">
        <f t="shared" si="28"/>
        <v>-42443.438626930962</v>
      </c>
      <c r="GM34" s="34">
        <f t="shared" si="29"/>
        <v>42444.498742299365</v>
      </c>
      <c r="GN34" s="55">
        <f t="shared" si="1"/>
        <v>600.0299774255501</v>
      </c>
      <c r="GO34" s="55">
        <f t="shared" si="2"/>
        <v>4.240938184411486</v>
      </c>
      <c r="GP34" s="34">
        <f t="shared" si="30"/>
        <v>600.04496445349014</v>
      </c>
      <c r="GQ34" s="55">
        <f t="shared" si="31"/>
        <v>599.9700225744499</v>
      </c>
      <c r="GR34" s="55">
        <f t="shared" si="32"/>
        <v>-4.2409381844114868</v>
      </c>
      <c r="GS34" s="34">
        <f t="shared" si="33"/>
        <v>599.98501110000234</v>
      </c>
      <c r="GT34" s="56">
        <f t="shared" si="34"/>
        <v>648.20723724844652</v>
      </c>
      <c r="GU34" s="56">
        <f t="shared" si="35"/>
        <v>146.08707434179712</v>
      </c>
      <c r="GV34" s="34">
        <f t="shared" si="36"/>
        <v>664.46524040841268</v>
      </c>
      <c r="GW34" s="30">
        <f t="shared" si="37"/>
        <v>551.79151698830731</v>
      </c>
      <c r="GX34" s="30">
        <f t="shared" si="3"/>
        <v>-146.08473871735595</v>
      </c>
      <c r="GY34" s="34">
        <f t="shared" si="38"/>
        <v>570.80174238204245</v>
      </c>
      <c r="GZ34" s="34">
        <f t="shared" si="4"/>
        <v>599.99875423675394</v>
      </c>
      <c r="HA34" s="34">
        <f t="shared" si="5"/>
        <v>2.3356244411729676E-3</v>
      </c>
      <c r="HB34" s="34">
        <f t="shared" si="39"/>
        <v>599.99875424129993</v>
      </c>
      <c r="HC34" s="33">
        <f t="shared" si="6"/>
        <v>0.919653489973564</v>
      </c>
      <c r="HD34" s="33">
        <f t="shared" si="7"/>
        <v>-0.24347864999879648</v>
      </c>
      <c r="HE34" s="33">
        <f t="shared" si="40"/>
        <v>0.95133821253316253</v>
      </c>
      <c r="HF34" s="33">
        <f t="shared" si="41"/>
        <v>0.7617745669490763</v>
      </c>
      <c r="HG34" s="33">
        <f t="shared" si="8"/>
        <v>-0.39705296856198391</v>
      </c>
      <c r="HH34" s="33">
        <f t="shared" si="42"/>
        <v>0.85904106461468799</v>
      </c>
      <c r="HI34" s="30">
        <f t="shared" si="56"/>
        <v>0.75893004505578443</v>
      </c>
      <c r="HJ34" s="30">
        <f t="shared" si="43"/>
        <v>-0.40241752893378951</v>
      </c>
      <c r="HK34" s="33">
        <f t="shared" si="44"/>
        <v>0.85901960448033565</v>
      </c>
      <c r="HL34" s="61">
        <f t="shared" si="45"/>
        <v>0.75601026702229657</v>
      </c>
      <c r="HM34" s="61">
        <f t="shared" si="46"/>
        <v>-0.40774081191610451</v>
      </c>
      <c r="HN34" s="33">
        <f t="shared" si="47"/>
        <v>0.85895523372590743</v>
      </c>
      <c r="HO34" s="30">
        <f t="shared" si="48"/>
        <v>-1.3197215031355172</v>
      </c>
      <c r="HP34" s="30">
        <f t="shared" si="49"/>
        <v>8.5850476629412142E-4</v>
      </c>
      <c r="HQ34" s="29">
        <v>30</v>
      </c>
      <c r="HR34" s="30">
        <v>188.49555921538757</v>
      </c>
      <c r="HS34" s="30">
        <f t="shared" si="50"/>
        <v>-1.3205800079018113</v>
      </c>
      <c r="HT34" s="30">
        <f t="shared" si="51"/>
        <v>-1.3205893951429974</v>
      </c>
      <c r="HU34" s="30">
        <f t="shared" si="52"/>
        <v>-9.3872411861539717E-6</v>
      </c>
      <c r="HV34" s="30">
        <f t="shared" si="53"/>
        <v>18.59204752848143</v>
      </c>
      <c r="HW34" s="30">
        <f t="shared" si="9"/>
        <v>18.592057357942604</v>
      </c>
      <c r="HX34" s="73">
        <f t="shared" si="10"/>
        <v>-1.2457587000653803E-3</v>
      </c>
      <c r="HY34" s="30">
        <f t="shared" si="54"/>
        <v>18.592915420488907</v>
      </c>
      <c r="HZ34" s="74">
        <f t="shared" si="55"/>
        <v>-9.8294611738936055E-6</v>
      </c>
    </row>
    <row r="35" spans="1:234" ht="15" customHeight="1" thickBot="1">
      <c r="A35" s="10"/>
      <c r="B35" s="162"/>
      <c r="C35" s="162"/>
      <c r="D35" s="11"/>
      <c r="F35" s="11"/>
      <c r="G35" s="42"/>
      <c r="H35" s="11"/>
      <c r="J35" s="47"/>
      <c r="L35" s="12"/>
      <c r="M35" s="47"/>
      <c r="N35" s="47"/>
      <c r="O35" s="47"/>
      <c r="P35" s="44"/>
      <c r="AE35" s="44"/>
      <c r="AI35" s="43" t="s">
        <v>53</v>
      </c>
      <c r="AJ35" s="136">
        <f t="shared" si="57"/>
        <v>0</v>
      </c>
      <c r="AK35" s="136"/>
      <c r="AL35" s="136"/>
      <c r="AM35" s="136"/>
      <c r="AN35" s="30" t="s">
        <v>43</v>
      </c>
      <c r="AW35" s="137"/>
      <c r="AX35" s="137"/>
      <c r="AY35" s="104" t="s">
        <v>21</v>
      </c>
      <c r="AZ35" s="104"/>
      <c r="BA35" s="104"/>
      <c r="BB35" s="104"/>
      <c r="BC35" s="104"/>
      <c r="BD35" s="104"/>
      <c r="BE35" s="104"/>
      <c r="BF35" s="104" t="s">
        <v>37</v>
      </c>
      <c r="BG35" s="104"/>
      <c r="BH35" s="104"/>
      <c r="BI35" s="104"/>
      <c r="BJ35" s="104"/>
      <c r="BK35" s="104"/>
      <c r="BL35" s="104"/>
      <c r="BM35" s="104"/>
      <c r="BN35" s="104"/>
      <c r="BO35" s="104"/>
      <c r="BP35" s="104"/>
      <c r="BQ35" s="104"/>
      <c r="BR35" s="104"/>
      <c r="BS35" s="111" t="s">
        <v>37</v>
      </c>
      <c r="BT35" s="111"/>
      <c r="BU35" s="111"/>
      <c r="BV35" s="111"/>
      <c r="BW35" s="111"/>
      <c r="BX35" s="111"/>
      <c r="BY35" s="111"/>
      <c r="BZ35" s="111"/>
      <c r="CA35" s="111"/>
      <c r="CB35" s="111"/>
      <c r="CC35" s="111"/>
      <c r="CD35" s="111"/>
      <c r="CE35" s="111"/>
      <c r="CF35" s="111"/>
      <c r="CG35" s="111"/>
      <c r="CH35" s="104"/>
      <c r="CI35" s="111" t="s">
        <v>297</v>
      </c>
      <c r="CJ35" s="111"/>
      <c r="CK35" s="111"/>
      <c r="CL35" s="111"/>
      <c r="CM35" s="111"/>
      <c r="CN35" s="111"/>
      <c r="CO35" s="111"/>
      <c r="CP35" s="111"/>
      <c r="CQ35" s="111"/>
      <c r="CR35" s="111"/>
      <c r="CS35" s="111"/>
      <c r="CT35" s="110"/>
      <c r="CU35" s="111" t="s">
        <v>37</v>
      </c>
      <c r="CV35" s="111"/>
      <c r="CW35" s="111"/>
      <c r="CX35" s="111"/>
      <c r="CY35" s="111"/>
      <c r="CZ35" s="111"/>
      <c r="DA35" s="111"/>
      <c r="DB35" s="111"/>
      <c r="DC35" s="104"/>
      <c r="DD35" s="112">
        <f>((2*AJ31+AJ36)^2+(AJ43*AJ38)^2)</f>
        <v>1440007.9943795649</v>
      </c>
      <c r="DE35" s="112"/>
      <c r="DF35" s="112"/>
      <c r="DG35" s="112"/>
      <c r="DH35" s="110"/>
      <c r="DI35" s="112">
        <f>DD35</f>
        <v>1440007.9943795649</v>
      </c>
      <c r="DJ35" s="112"/>
      <c r="DK35" s="112"/>
      <c r="DL35" s="112"/>
      <c r="DM35" s="104"/>
      <c r="DN35" s="159"/>
      <c r="DO35" s="155"/>
      <c r="DP35" s="155"/>
      <c r="DQ35" s="156"/>
      <c r="DR35" s="116"/>
      <c r="DS35" s="159"/>
      <c r="DT35" s="155"/>
      <c r="DU35" s="155"/>
      <c r="DV35" s="156"/>
      <c r="DW35" s="108"/>
      <c r="DX35" s="108"/>
      <c r="DY35" s="108"/>
      <c r="DZ35" s="116"/>
      <c r="EA35" s="108"/>
      <c r="EB35" s="108"/>
      <c r="FO35" s="43" t="s">
        <v>231</v>
      </c>
      <c r="FP35" s="30">
        <f>SQRT(FP57^2+FR57^2)</f>
        <v>599.99833451119184</v>
      </c>
      <c r="FT35" s="29">
        <v>40</v>
      </c>
      <c r="FU35" s="27">
        <f t="shared" si="12"/>
        <v>251.32741228718345</v>
      </c>
      <c r="FV35" s="30">
        <f t="shared" si="13"/>
        <v>79.620521115604703</v>
      </c>
      <c r="FW35" s="30">
        <f t="shared" si="14"/>
        <v>180.96135017138087</v>
      </c>
      <c r="FX35" s="34">
        <f t="shared" si="15"/>
        <v>197.70290245357953</v>
      </c>
      <c r="FY35" s="30">
        <f t="shared" si="16"/>
        <v>205.64428489674313</v>
      </c>
      <c r="FZ35" s="30">
        <f t="shared" si="17"/>
        <v>-90.480675085690436</v>
      </c>
      <c r="GA35" s="34">
        <f t="shared" si="18"/>
        <v>224.66936701440883</v>
      </c>
      <c r="GB35" s="34">
        <f t="shared" si="19"/>
        <v>5.3291130104532555E-2</v>
      </c>
      <c r="GC35" s="34">
        <f t="shared" si="20"/>
        <v>5.6543645193931127</v>
      </c>
      <c r="GD35" s="34">
        <f t="shared" si="21"/>
        <v>5.6546156423509037</v>
      </c>
      <c r="GE35" s="55">
        <f t="shared" si="22"/>
        <v>299.97335443494774</v>
      </c>
      <c r="GF35" s="55">
        <f t="shared" si="23"/>
        <v>-2.8271822596965563</v>
      </c>
      <c r="GG35" s="34">
        <f t="shared" si="24"/>
        <v>299.98667692163315</v>
      </c>
      <c r="GH35" s="30">
        <f t="shared" si="25"/>
        <v>326.86335098469453</v>
      </c>
      <c r="GI35" s="30">
        <f t="shared" si="0"/>
        <v>-923.83989113366533</v>
      </c>
      <c r="GJ35" s="34">
        <f t="shared" si="26"/>
        <v>979.95907805724528</v>
      </c>
      <c r="GK35" s="34">
        <f t="shared" si="27"/>
        <v>299.97335443494774</v>
      </c>
      <c r="GL35" s="34">
        <f t="shared" si="28"/>
        <v>-31833.815800638771</v>
      </c>
      <c r="GM35" s="34">
        <f t="shared" si="29"/>
        <v>31835.229109311742</v>
      </c>
      <c r="GN35" s="55">
        <f t="shared" si="1"/>
        <v>600.05329113010453</v>
      </c>
      <c r="GO35" s="55">
        <f t="shared" si="2"/>
        <v>5.6543645193931127</v>
      </c>
      <c r="GP35" s="34">
        <f t="shared" si="30"/>
        <v>600.07993137097003</v>
      </c>
      <c r="GQ35" s="55">
        <f t="shared" si="31"/>
        <v>599.94670886989547</v>
      </c>
      <c r="GR35" s="55">
        <f t="shared" si="32"/>
        <v>-5.6543645193931118</v>
      </c>
      <c r="GS35" s="34">
        <f t="shared" si="33"/>
        <v>599.9733538432663</v>
      </c>
      <c r="GT35" s="56">
        <f t="shared" si="34"/>
        <v>679.62052111560467</v>
      </c>
      <c r="GU35" s="56">
        <f t="shared" si="35"/>
        <v>180.96135017138087</v>
      </c>
      <c r="GV35" s="34">
        <f t="shared" si="36"/>
        <v>703.30012297545852</v>
      </c>
      <c r="GW35" s="30">
        <f t="shared" si="37"/>
        <v>520.37899694314888</v>
      </c>
      <c r="GX35" s="30">
        <f t="shared" si="3"/>
        <v>-180.95920856367115</v>
      </c>
      <c r="GY35" s="34">
        <f t="shared" si="38"/>
        <v>550.94512941267385</v>
      </c>
      <c r="GZ35" s="34">
        <f t="shared" si="4"/>
        <v>599.99951805875355</v>
      </c>
      <c r="HA35" s="34">
        <f t="shared" si="5"/>
        <v>2.1416077097171637E-3</v>
      </c>
      <c r="HB35" s="34">
        <f t="shared" si="39"/>
        <v>599.99951806257559</v>
      </c>
      <c r="HC35" s="33">
        <f t="shared" si="6"/>
        <v>0.86729794836099039</v>
      </c>
      <c r="HD35" s="33">
        <f t="shared" si="7"/>
        <v>-0.30160201888349486</v>
      </c>
      <c r="HE35" s="33">
        <f t="shared" si="40"/>
        <v>0.91824261991359513</v>
      </c>
      <c r="HF35" s="33">
        <f t="shared" si="41"/>
        <v>0.64879286616971421</v>
      </c>
      <c r="HG35" s="33">
        <f t="shared" si="8"/>
        <v>-0.43902094640102185</v>
      </c>
      <c r="HH35" s="33">
        <f t="shared" si="42"/>
        <v>0.7833719260808123</v>
      </c>
      <c r="HI35" s="30">
        <f t="shared" si="56"/>
        <v>0.6445979338903105</v>
      </c>
      <c r="HJ35" s="30">
        <f t="shared" si="43"/>
        <v>-0.44509613880190874</v>
      </c>
      <c r="HK35" s="33">
        <f t="shared" si="44"/>
        <v>0.78333713632894042</v>
      </c>
      <c r="HL35" s="61">
        <f t="shared" si="45"/>
        <v>0.64029001755949133</v>
      </c>
      <c r="HM35" s="61">
        <f t="shared" si="46"/>
        <v>-0.45109012889301264</v>
      </c>
      <c r="HN35" s="33">
        <f t="shared" si="47"/>
        <v>0.78323279487713515</v>
      </c>
      <c r="HO35" s="30">
        <f t="shared" si="48"/>
        <v>-2.1206399288459359</v>
      </c>
      <c r="HP35" s="30">
        <f t="shared" si="49"/>
        <v>1.5315098278261274E-3</v>
      </c>
      <c r="HQ35" s="29">
        <v>40</v>
      </c>
      <c r="HR35" s="30">
        <v>251.32741228718345</v>
      </c>
      <c r="HS35" s="30">
        <f t="shared" si="50"/>
        <v>-2.122171438673762</v>
      </c>
      <c r="HT35" s="30">
        <f t="shared" si="51"/>
        <v>-2.1221827280822221</v>
      </c>
      <c r="HU35" s="30">
        <f t="shared" si="52"/>
        <v>-1.1289408460068984E-5</v>
      </c>
      <c r="HV35" s="30">
        <f t="shared" si="53"/>
        <v>17.790454195542203</v>
      </c>
      <c r="HW35" s="30">
        <f t="shared" si="9"/>
        <v>17.790465927170651</v>
      </c>
      <c r="HX35" s="73">
        <f t="shared" si="10"/>
        <v>-4.8193742441071663E-4</v>
      </c>
      <c r="HY35" s="30">
        <f t="shared" si="54"/>
        <v>17.79199699477849</v>
      </c>
      <c r="HZ35" s="74">
        <f t="shared" si="55"/>
        <v>-1.1731628447364528E-5</v>
      </c>
    </row>
    <row r="36" spans="1:234" ht="15" customHeight="1">
      <c r="A36" s="12"/>
      <c r="B36" s="12"/>
      <c r="AI36" s="43" t="s">
        <v>54</v>
      </c>
      <c r="AJ36" s="136">
        <f t="shared" si="57"/>
        <v>0</v>
      </c>
      <c r="AK36" s="136"/>
      <c r="AL36" s="136"/>
      <c r="AM36" s="136"/>
      <c r="AN36" s="30" t="s">
        <v>43</v>
      </c>
      <c r="AW36" s="137" t="s">
        <v>18</v>
      </c>
      <c r="AX36" s="137"/>
      <c r="AY36" s="105" t="s">
        <v>22</v>
      </c>
      <c r="AZ36" s="105"/>
      <c r="BA36" s="105"/>
      <c r="BB36" s="105"/>
      <c r="BC36" s="105"/>
      <c r="BD36" s="105"/>
      <c r="BE36" s="104" t="s">
        <v>33</v>
      </c>
      <c r="BF36" s="105" t="s">
        <v>87</v>
      </c>
      <c r="BG36" s="105"/>
      <c r="BH36" s="105"/>
      <c r="BI36" s="105"/>
      <c r="BJ36" s="105"/>
      <c r="BK36" s="105"/>
      <c r="BL36" s="105"/>
      <c r="BM36" s="105"/>
      <c r="BN36" s="104" t="s">
        <v>33</v>
      </c>
      <c r="BO36" s="105" t="s">
        <v>301</v>
      </c>
      <c r="BP36" s="105"/>
      <c r="BQ36" s="105"/>
      <c r="BR36" s="105"/>
      <c r="BS36" s="105"/>
      <c r="BT36" s="105"/>
      <c r="BU36" s="105"/>
      <c r="BV36" s="105"/>
      <c r="BW36" s="107" t="s">
        <v>91</v>
      </c>
      <c r="BX36" s="163" t="s">
        <v>302</v>
      </c>
      <c r="BY36" s="163"/>
      <c r="BZ36" s="163"/>
      <c r="CA36" s="163"/>
      <c r="CB36" s="163"/>
      <c r="CC36" s="163"/>
      <c r="CD36" s="163"/>
      <c r="CE36" s="163"/>
      <c r="CF36" s="104" t="s">
        <v>33</v>
      </c>
      <c r="CG36" s="106">
        <f>AJ31^2*(2*AJ31+AJ36)</f>
        <v>432000000</v>
      </c>
      <c r="CH36" s="106"/>
      <c r="CI36" s="106"/>
      <c r="CJ36" s="106"/>
      <c r="CK36" s="107" t="s">
        <v>91</v>
      </c>
      <c r="CL36" s="106">
        <f>-(AJ31^2*AJ43*AJ38)</f>
        <v>-1017876.0197630929</v>
      </c>
      <c r="CM36" s="106"/>
      <c r="CN36" s="106"/>
      <c r="CO36" s="106"/>
      <c r="CP36" s="104" t="s">
        <v>33</v>
      </c>
      <c r="CQ36" s="151">
        <f>CG36/CG37</f>
        <v>299.99833451350349</v>
      </c>
      <c r="CR36" s="152"/>
      <c r="CS36" s="152"/>
      <c r="CT36" s="153"/>
      <c r="CU36" s="115" t="s">
        <v>91</v>
      </c>
      <c r="CV36" s="151">
        <f>CL36/CL37</f>
        <v>-0.70685442284759692</v>
      </c>
      <c r="CW36" s="152"/>
      <c r="CX36" s="152"/>
      <c r="CY36" s="153"/>
      <c r="CZ36" s="108" t="s">
        <v>33</v>
      </c>
      <c r="DA36" s="108" t="s">
        <v>102</v>
      </c>
      <c r="DB36" s="108"/>
      <c r="DC36" s="115" t="s">
        <v>96</v>
      </c>
      <c r="DD36" s="108" t="s">
        <v>103</v>
      </c>
      <c r="DE36" s="108"/>
      <c r="FO36" s="43" t="s">
        <v>232</v>
      </c>
      <c r="FP36" s="30">
        <f t="shared" si="11"/>
        <v>596.51879471483551</v>
      </c>
      <c r="FT36" s="29">
        <v>50</v>
      </c>
      <c r="FU36" s="27">
        <f t="shared" si="12"/>
        <v>314.15926535897933</v>
      </c>
      <c r="FV36" s="30">
        <f t="shared" si="13"/>
        <v>114.00607906782051</v>
      </c>
      <c r="FW36" s="30">
        <f t="shared" si="14"/>
        <v>207.29021821802294</v>
      </c>
      <c r="FX36" s="34">
        <f t="shared" si="15"/>
        <v>236.57265402682052</v>
      </c>
      <c r="FY36" s="30">
        <f t="shared" si="16"/>
        <v>188.45150592063524</v>
      </c>
      <c r="FZ36" s="30">
        <f t="shared" si="17"/>
        <v>-103.64510910901147</v>
      </c>
      <c r="GA36" s="34">
        <f t="shared" si="18"/>
        <v>215.0727289220419</v>
      </c>
      <c r="GB36" s="34">
        <f t="shared" si="19"/>
        <v>8.3263230921139686E-2</v>
      </c>
      <c r="GC36" s="34">
        <f t="shared" si="20"/>
        <v>7.0676025487473746</v>
      </c>
      <c r="GD36" s="34">
        <f t="shared" si="21"/>
        <v>7.0680929926454574</v>
      </c>
      <c r="GE36" s="55">
        <f t="shared" si="22"/>
        <v>299.95836838453943</v>
      </c>
      <c r="GF36" s="55">
        <f t="shared" si="23"/>
        <v>-3.5338012743736873</v>
      </c>
      <c r="GG36" s="34">
        <f t="shared" si="24"/>
        <v>299.97918347005651</v>
      </c>
      <c r="GH36" s="30">
        <f t="shared" si="25"/>
        <v>309.66807185328793</v>
      </c>
      <c r="GI36" s="30">
        <f t="shared" si="0"/>
        <v>-770.33248196405964</v>
      </c>
      <c r="GJ36" s="34">
        <f t="shared" si="26"/>
        <v>830.24481178399503</v>
      </c>
      <c r="GK36" s="34">
        <f t="shared" si="27"/>
        <v>299.95836838453943</v>
      </c>
      <c r="GL36" s="34">
        <f t="shared" si="28"/>
        <v>-25468.32469597763</v>
      </c>
      <c r="GM36" s="34">
        <f t="shared" si="29"/>
        <v>25470.091045037669</v>
      </c>
      <c r="GN36" s="55">
        <f t="shared" si="1"/>
        <v>600.08326323092115</v>
      </c>
      <c r="GO36" s="55">
        <f t="shared" si="2"/>
        <v>7.0676025487473746</v>
      </c>
      <c r="GP36" s="34">
        <f t="shared" si="30"/>
        <v>600.12488185015127</v>
      </c>
      <c r="GQ36" s="55">
        <f t="shared" si="31"/>
        <v>599.91673676907885</v>
      </c>
      <c r="GR36" s="55">
        <f t="shared" si="32"/>
        <v>-7.0676025487473746</v>
      </c>
      <c r="GS36" s="34">
        <f t="shared" si="33"/>
        <v>599.95836694011302</v>
      </c>
      <c r="GT36" s="56">
        <f t="shared" si="34"/>
        <v>714.00607906782045</v>
      </c>
      <c r="GU36" s="56">
        <f t="shared" si="35"/>
        <v>207.29021821802294</v>
      </c>
      <c r="GV36" s="34">
        <f t="shared" si="36"/>
        <v>743.48767004885713</v>
      </c>
      <c r="GW36" s="30">
        <f t="shared" si="37"/>
        <v>485.99392086757189</v>
      </c>
      <c r="GX36" s="30">
        <f t="shared" si="3"/>
        <v>-207.28841816811857</v>
      </c>
      <c r="GY36" s="34">
        <f t="shared" si="38"/>
        <v>528.35459629577986</v>
      </c>
      <c r="GZ36" s="34">
        <f t="shared" si="4"/>
        <v>599.99999993539245</v>
      </c>
      <c r="HA36" s="34">
        <f t="shared" si="5"/>
        <v>1.8000499043751006E-3</v>
      </c>
      <c r="HB36" s="34">
        <f t="shared" si="39"/>
        <v>599.99999993809263</v>
      </c>
      <c r="HC36" s="33">
        <f t="shared" si="6"/>
        <v>0.80998883172172254</v>
      </c>
      <c r="HD36" s="33">
        <f t="shared" si="7"/>
        <v>-0.34548312701793077</v>
      </c>
      <c r="HE36" s="33">
        <f t="shared" si="40"/>
        <v>0.88059099391715823</v>
      </c>
      <c r="HF36" s="33">
        <f t="shared" si="41"/>
        <v>0.55001330143918992</v>
      </c>
      <c r="HG36" s="33">
        <f t="shared" si="8"/>
        <v>-0.44999932480740712</v>
      </c>
      <c r="HH36" s="33">
        <f t="shared" si="42"/>
        <v>0.7106433874223832</v>
      </c>
      <c r="HI36" s="30">
        <f t="shared" si="56"/>
        <v>0.54463628100673833</v>
      </c>
      <c r="HJ36" s="30">
        <f t="shared" si="43"/>
        <v>-0.45641566982974174</v>
      </c>
      <c r="HK36" s="33">
        <f t="shared" si="44"/>
        <v>0.71059407699120503</v>
      </c>
      <c r="HL36" s="61">
        <f t="shared" si="45"/>
        <v>0.53911114636913782</v>
      </c>
      <c r="HM36" s="61">
        <f t="shared" si="46"/>
        <v>-0.46270183193416953</v>
      </c>
      <c r="HN36" s="33">
        <f t="shared" si="47"/>
        <v>0.71044620726321173</v>
      </c>
      <c r="HO36" s="30">
        <f t="shared" si="48"/>
        <v>-2.9669656148708228</v>
      </c>
      <c r="HP36" s="30">
        <f t="shared" si="49"/>
        <v>2.3987731502694842E-3</v>
      </c>
      <c r="HQ36" s="29">
        <v>50</v>
      </c>
      <c r="HR36" s="30">
        <v>314.15926535897933</v>
      </c>
      <c r="HS36" s="30">
        <f t="shared" si="50"/>
        <v>-2.9693643880210923</v>
      </c>
      <c r="HT36" s="30">
        <f t="shared" si="51"/>
        <v>-2.9693759978878758</v>
      </c>
      <c r="HU36" s="30">
        <f t="shared" si="52"/>
        <v>-1.1609866783501843E-5</v>
      </c>
      <c r="HV36" s="30">
        <f t="shared" si="53"/>
        <v>16.943260925736549</v>
      </c>
      <c r="HW36" s="30">
        <f t="shared" si="9"/>
        <v>16.943272977823323</v>
      </c>
      <c r="HX36" s="73">
        <f t="shared" si="10"/>
        <v>-6.1907371673441958E-8</v>
      </c>
      <c r="HY36" s="30">
        <f t="shared" si="54"/>
        <v>16.945671308753603</v>
      </c>
      <c r="HZ36" s="74">
        <f t="shared" si="55"/>
        <v>-1.2052086773906012E-5</v>
      </c>
    </row>
    <row r="37" spans="1:234" ht="15" customHeight="1" thickBot="1">
      <c r="AI37" s="43" t="s">
        <v>44</v>
      </c>
      <c r="AJ37" s="136">
        <f t="shared" si="57"/>
        <v>1.71882</v>
      </c>
      <c r="AK37" s="136"/>
      <c r="AL37" s="136"/>
      <c r="AM37" s="136"/>
      <c r="AN37" s="30" t="s">
        <v>46</v>
      </c>
      <c r="AW37" s="137"/>
      <c r="AX37" s="137"/>
      <c r="AY37" s="104" t="s">
        <v>21</v>
      </c>
      <c r="AZ37" s="104"/>
      <c r="BA37" s="104"/>
      <c r="BB37" s="104"/>
      <c r="BC37" s="104"/>
      <c r="BD37" s="104"/>
      <c r="BE37" s="104"/>
      <c r="BF37" s="111" t="s">
        <v>37</v>
      </c>
      <c r="BG37" s="111"/>
      <c r="BH37" s="111"/>
      <c r="BI37" s="111"/>
      <c r="BJ37" s="111"/>
      <c r="BK37" s="111"/>
      <c r="BL37" s="111"/>
      <c r="BM37" s="111"/>
      <c r="BN37" s="104"/>
      <c r="BO37" s="111" t="s">
        <v>37</v>
      </c>
      <c r="BP37" s="111"/>
      <c r="BQ37" s="111"/>
      <c r="BR37" s="111"/>
      <c r="BS37" s="111"/>
      <c r="BT37" s="111"/>
      <c r="BU37" s="111"/>
      <c r="BV37" s="111"/>
      <c r="BW37" s="104"/>
      <c r="BX37" s="111" t="s">
        <v>37</v>
      </c>
      <c r="BY37" s="111"/>
      <c r="BZ37" s="111"/>
      <c r="CA37" s="111"/>
      <c r="CB37" s="111"/>
      <c r="CC37" s="111"/>
      <c r="CD37" s="111"/>
      <c r="CE37" s="111"/>
      <c r="CF37" s="104"/>
      <c r="CG37" s="108">
        <f>DD35</f>
        <v>1440007.9943795649</v>
      </c>
      <c r="CH37" s="108"/>
      <c r="CI37" s="108"/>
      <c r="CJ37" s="108"/>
      <c r="CK37" s="104"/>
      <c r="CL37" s="108">
        <f>CG37</f>
        <v>1440007.9943795649</v>
      </c>
      <c r="CM37" s="108"/>
      <c r="CN37" s="108"/>
      <c r="CO37" s="108"/>
      <c r="CP37" s="104"/>
      <c r="CQ37" s="154"/>
      <c r="CR37" s="116"/>
      <c r="CS37" s="116"/>
      <c r="CT37" s="156"/>
      <c r="CU37" s="116"/>
      <c r="CV37" s="159"/>
      <c r="CW37" s="155"/>
      <c r="CX37" s="155"/>
      <c r="CY37" s="156"/>
      <c r="CZ37" s="108"/>
      <c r="DA37" s="108"/>
      <c r="DB37" s="108"/>
      <c r="DC37" s="116"/>
      <c r="DD37" s="108"/>
      <c r="DE37" s="108"/>
      <c r="FO37" s="43" t="s">
        <v>218</v>
      </c>
      <c r="FP37" s="30">
        <f>SQRT(FP43^2+FR43^2)</f>
        <v>0.99420328575889561</v>
      </c>
      <c r="FT37" s="29">
        <v>60</v>
      </c>
      <c r="FU37" s="27">
        <f t="shared" si="12"/>
        <v>376.99111843077515</v>
      </c>
      <c r="FV37" s="30">
        <f t="shared" si="13"/>
        <v>148.94869557245872</v>
      </c>
      <c r="FW37" s="30">
        <f t="shared" si="14"/>
        <v>225.68685124046027</v>
      </c>
      <c r="FX37" s="34">
        <f t="shared" si="15"/>
        <v>270.40759740726708</v>
      </c>
      <c r="FY37" s="30">
        <f t="shared" si="16"/>
        <v>170.98019766831612</v>
      </c>
      <c r="FZ37" s="30">
        <f t="shared" si="17"/>
        <v>-112.84342562023014</v>
      </c>
      <c r="GA37" s="34">
        <f t="shared" si="18"/>
        <v>204.86060309489685</v>
      </c>
      <c r="GB37" s="34">
        <f t="shared" si="19"/>
        <v>0.11989173197293358</v>
      </c>
      <c r="GC37" s="34">
        <f t="shared" si="20"/>
        <v>8.4806052352626757</v>
      </c>
      <c r="GD37" s="34">
        <f t="shared" si="21"/>
        <v>8.4814526576383233</v>
      </c>
      <c r="GE37" s="55">
        <f t="shared" si="22"/>
        <v>299.94005413401356</v>
      </c>
      <c r="GF37" s="55">
        <f t="shared" si="23"/>
        <v>-4.2403026176313379</v>
      </c>
      <c r="GG37" s="34">
        <f t="shared" si="24"/>
        <v>299.97002556956267</v>
      </c>
      <c r="GH37" s="30">
        <f t="shared" si="25"/>
        <v>292.1954054919176</v>
      </c>
      <c r="GI37" s="30">
        <f t="shared" si="0"/>
        <v>-668.41623634031566</v>
      </c>
      <c r="GJ37" s="34">
        <f t="shared" si="26"/>
        <v>729.49189165743223</v>
      </c>
      <c r="GK37" s="34">
        <f t="shared" si="27"/>
        <v>299.94005413401356</v>
      </c>
      <c r="GL37" s="34">
        <f t="shared" si="28"/>
        <v>-21224.899381537012</v>
      </c>
      <c r="GM37" s="34">
        <f t="shared" si="29"/>
        <v>21227.01857992413</v>
      </c>
      <c r="GN37" s="55">
        <f t="shared" si="1"/>
        <v>600.11989173197298</v>
      </c>
      <c r="GO37" s="55">
        <f t="shared" si="2"/>
        <v>8.4806052352626757</v>
      </c>
      <c r="GP37" s="34">
        <f t="shared" si="30"/>
        <v>600.17981065473316</v>
      </c>
      <c r="GQ37" s="55">
        <f t="shared" si="31"/>
        <v>599.88010826802702</v>
      </c>
      <c r="GR37" s="55">
        <f t="shared" si="32"/>
        <v>-8.4806052352626722</v>
      </c>
      <c r="GS37" s="34">
        <f t="shared" si="33"/>
        <v>599.94005113912522</v>
      </c>
      <c r="GT37" s="56">
        <f t="shared" si="34"/>
        <v>748.94869557245863</v>
      </c>
      <c r="GU37" s="56">
        <f t="shared" si="35"/>
        <v>225.68685124046027</v>
      </c>
      <c r="GV37" s="34">
        <f t="shared" si="36"/>
        <v>782.21397547123956</v>
      </c>
      <c r="GW37" s="30">
        <f t="shared" si="37"/>
        <v>451.05157044328877</v>
      </c>
      <c r="GX37" s="30">
        <f t="shared" si="3"/>
        <v>-225.68539995879124</v>
      </c>
      <c r="GY37" s="34">
        <f t="shared" si="38"/>
        <v>504.36238852031448</v>
      </c>
      <c r="GZ37" s="34">
        <f t="shared" si="4"/>
        <v>600.00026601574746</v>
      </c>
      <c r="HA37" s="34">
        <f t="shared" si="5"/>
        <v>1.4512816690341879E-3</v>
      </c>
      <c r="HB37" s="34">
        <f t="shared" si="39"/>
        <v>600.00026601750267</v>
      </c>
      <c r="HC37" s="33">
        <f t="shared" si="6"/>
        <v>0.75175137429119165</v>
      </c>
      <c r="HD37" s="33">
        <f t="shared" si="7"/>
        <v>-0.37614398483592854</v>
      </c>
      <c r="HE37" s="33">
        <f t="shared" si="40"/>
        <v>0.84060360817506996</v>
      </c>
      <c r="HF37" s="33">
        <f t="shared" si="41"/>
        <v>0.46886556351493625</v>
      </c>
      <c r="HG37" s="33">
        <f t="shared" si="8"/>
        <v>-0.44262468917572884</v>
      </c>
      <c r="HH37" s="33">
        <f t="shared" si="42"/>
        <v>0.64478797454519055</v>
      </c>
      <c r="HI37" s="30">
        <f t="shared" si="56"/>
        <v>0.4625156662470154</v>
      </c>
      <c r="HJ37" s="30">
        <f t="shared" si="43"/>
        <v>-0.44916335036236194</v>
      </c>
      <c r="HK37" s="33">
        <f t="shared" si="44"/>
        <v>0.64472355070422427</v>
      </c>
      <c r="HL37" s="61">
        <f t="shared" si="45"/>
        <v>0.45598611266253475</v>
      </c>
      <c r="HM37" s="61">
        <f t="shared" si="46"/>
        <v>-0.45551739277084502</v>
      </c>
      <c r="HN37" s="33">
        <f t="shared" si="47"/>
        <v>0.64453039498369513</v>
      </c>
      <c r="HO37" s="30">
        <f t="shared" si="48"/>
        <v>-3.811661416533481</v>
      </c>
      <c r="HP37" s="30">
        <f t="shared" si="49"/>
        <v>3.45959015525521E-3</v>
      </c>
      <c r="HQ37" s="29">
        <v>60</v>
      </c>
      <c r="HR37" s="30">
        <v>376.99111843077515</v>
      </c>
      <c r="HS37" s="30">
        <f t="shared" si="50"/>
        <v>-3.8151210066887362</v>
      </c>
      <c r="HT37" s="30">
        <f t="shared" si="51"/>
        <v>-3.8151319444136558</v>
      </c>
      <c r="HU37" s="30">
        <f t="shared" si="52"/>
        <v>-1.0937724919557468E-5</v>
      </c>
      <c r="HV37" s="30">
        <f t="shared" si="53"/>
        <v>16.097504979210768</v>
      </c>
      <c r="HW37" s="30">
        <f t="shared" si="9"/>
        <v>16.097516359155676</v>
      </c>
      <c r="HX37" s="73">
        <f t="shared" si="10"/>
        <v>2.6601750266763702E-4</v>
      </c>
      <c r="HY37" s="30">
        <f t="shared" si="54"/>
        <v>16.100975507090943</v>
      </c>
      <c r="HZ37" s="74">
        <f t="shared" si="55"/>
        <v>-1.137994490818528E-5</v>
      </c>
    </row>
    <row r="38" spans="1:234" ht="15" customHeight="1">
      <c r="M38" s="47"/>
      <c r="N38" s="47"/>
      <c r="O38" s="47"/>
      <c r="P38" s="44"/>
      <c r="AE38" s="44"/>
      <c r="AI38" s="43" t="s">
        <v>45</v>
      </c>
      <c r="AJ38" s="136">
        <f t="shared" si="57"/>
        <v>4.4999999999999998E-2</v>
      </c>
      <c r="AK38" s="136"/>
      <c r="AL38" s="136"/>
      <c r="AM38" s="136"/>
      <c r="AN38" s="30" t="s">
        <v>46</v>
      </c>
      <c r="AW38" s="104" t="s">
        <v>25</v>
      </c>
      <c r="AX38" s="104"/>
      <c r="AY38" s="164" t="s">
        <v>71</v>
      </c>
      <c r="AZ38" s="164"/>
      <c r="BA38" s="160" t="s">
        <v>26</v>
      </c>
      <c r="BB38" s="160"/>
      <c r="BC38" s="141" t="s">
        <v>28</v>
      </c>
      <c r="BD38" s="141"/>
      <c r="BE38" s="141"/>
      <c r="BF38" s="141"/>
      <c r="BG38" s="141"/>
      <c r="BH38" s="141"/>
      <c r="BI38" s="104" t="s">
        <v>33</v>
      </c>
      <c r="BJ38" s="116" t="s">
        <v>71</v>
      </c>
      <c r="BK38" s="109" t="s">
        <v>30</v>
      </c>
      <c r="BL38" s="108" t="s">
        <v>8</v>
      </c>
      <c r="BM38" s="109" t="s">
        <v>30</v>
      </c>
      <c r="BN38" s="106" t="s">
        <v>9</v>
      </c>
      <c r="BO38" s="106"/>
      <c r="BP38" s="106"/>
      <c r="BQ38" s="106"/>
      <c r="BR38" s="104" t="s">
        <v>33</v>
      </c>
      <c r="BS38" s="164" t="s">
        <v>71</v>
      </c>
      <c r="BT38" s="160" t="s">
        <v>30</v>
      </c>
      <c r="BU38" s="142" t="s">
        <v>8</v>
      </c>
      <c r="BV38" s="160" t="s">
        <v>30</v>
      </c>
      <c r="BW38" s="141" t="s">
        <v>9</v>
      </c>
      <c r="BX38" s="141"/>
      <c r="BY38" s="141"/>
      <c r="BZ38" s="141"/>
      <c r="CA38" s="141"/>
      <c r="CB38" s="141"/>
      <c r="CC38" s="107" t="s">
        <v>91</v>
      </c>
      <c r="CD38" s="161" t="s">
        <v>111</v>
      </c>
      <c r="CE38" s="141"/>
      <c r="CF38" s="141"/>
      <c r="CG38" s="141"/>
      <c r="CH38" s="141"/>
      <c r="CI38" s="141"/>
      <c r="CJ38" s="104" t="s">
        <v>33</v>
      </c>
      <c r="CK38" s="151">
        <f>CU32+AJ32+AJ33/(1+(AJ33*AJ43*AP39)^2)</f>
        <v>363.84347213994306</v>
      </c>
      <c r="CL38" s="152"/>
      <c r="CM38" s="152"/>
      <c r="CN38" s="153"/>
      <c r="CO38" s="109" t="s">
        <v>91</v>
      </c>
      <c r="CP38" s="151">
        <f>CZ32-(AJ33^2*AJ43*AP39)/(1+(AJ33*AJ43*AP39)^2)</f>
        <v>-3360.1132577890253</v>
      </c>
      <c r="CQ38" s="152"/>
      <c r="CR38" s="152"/>
      <c r="CS38" s="153"/>
      <c r="CT38" s="108" t="s">
        <v>33</v>
      </c>
      <c r="CU38" s="108" t="s">
        <v>112</v>
      </c>
      <c r="CV38" s="108"/>
      <c r="CW38" s="115" t="s">
        <v>96</v>
      </c>
      <c r="CX38" s="108" t="s">
        <v>113</v>
      </c>
      <c r="CY38" s="108"/>
      <c r="CZ38" s="2"/>
      <c r="DA38" s="2"/>
      <c r="DB38" s="2"/>
      <c r="DC38" s="2"/>
      <c r="DD38" s="1"/>
      <c r="DE38" s="1"/>
      <c r="DF38" s="2"/>
      <c r="DG38" s="2"/>
      <c r="DH38" s="2"/>
      <c r="DI38" s="2"/>
      <c r="DJ38" s="2"/>
      <c r="FO38" s="43" t="s">
        <v>219</v>
      </c>
      <c r="FP38" s="30">
        <f>SQRT(FP44^2+FR44^2)</f>
        <v>0.98077772643984962</v>
      </c>
      <c r="FT38" s="29">
        <v>70</v>
      </c>
      <c r="FU38" s="27">
        <f t="shared" si="12"/>
        <v>439.82297150257102</v>
      </c>
      <c r="FV38" s="30">
        <f t="shared" si="13"/>
        <v>182.71620926533106</v>
      </c>
      <c r="FW38" s="30">
        <f t="shared" si="14"/>
        <v>237.30114845172292</v>
      </c>
      <c r="FX38" s="34">
        <f t="shared" si="15"/>
        <v>299.49465468485226</v>
      </c>
      <c r="FY38" s="30">
        <f t="shared" si="16"/>
        <v>154.09644082187992</v>
      </c>
      <c r="FZ38" s="30">
        <f t="shared" si="17"/>
        <v>-118.65057422586146</v>
      </c>
      <c r="GA38" s="34">
        <f t="shared" si="18"/>
        <v>194.48308882290462</v>
      </c>
      <c r="GB38" s="34">
        <f t="shared" si="19"/>
        <v>0.16317419434843469</v>
      </c>
      <c r="GC38" s="34">
        <f t="shared" si="20"/>
        <v>9.893325567844192</v>
      </c>
      <c r="GD38" s="34">
        <f t="shared" si="21"/>
        <v>9.8946711218241532</v>
      </c>
      <c r="GE38" s="55">
        <f t="shared" si="22"/>
        <v>299.91841290282576</v>
      </c>
      <c r="GF38" s="55">
        <f t="shared" si="23"/>
        <v>-4.946662783922096</v>
      </c>
      <c r="GG38" s="34">
        <f t="shared" si="24"/>
        <v>299.95920367751296</v>
      </c>
      <c r="GH38" s="30">
        <f t="shared" si="25"/>
        <v>275.31082974855809</v>
      </c>
      <c r="GI38" s="30">
        <f t="shared" si="0"/>
        <v>-594.85584056126277</v>
      </c>
      <c r="GJ38" s="34">
        <f t="shared" si="26"/>
        <v>655.47656253041271</v>
      </c>
      <c r="GK38" s="34">
        <f t="shared" si="27"/>
        <v>299.91841290282576</v>
      </c>
      <c r="GL38" s="34">
        <f t="shared" si="28"/>
        <v>-18194.083016143388</v>
      </c>
      <c r="GM38" s="34">
        <f t="shared" si="29"/>
        <v>18196.554834712955</v>
      </c>
      <c r="GN38" s="55">
        <f t="shared" si="1"/>
        <v>600.16317419434847</v>
      </c>
      <c r="GO38" s="55">
        <f t="shared" si="2"/>
        <v>9.893325567844192</v>
      </c>
      <c r="GP38" s="34">
        <f t="shared" si="30"/>
        <v>600.24471138846968</v>
      </c>
      <c r="GQ38" s="55">
        <f t="shared" si="31"/>
        <v>599.83682580565176</v>
      </c>
      <c r="GR38" s="55">
        <f t="shared" si="32"/>
        <v>-9.8933255678441991</v>
      </c>
      <c r="GS38" s="34">
        <f t="shared" si="33"/>
        <v>599.91840735502615</v>
      </c>
      <c r="GT38" s="56">
        <f t="shared" si="34"/>
        <v>782.71620926533126</v>
      </c>
      <c r="GU38" s="56">
        <f t="shared" si="35"/>
        <v>237.30114845172292</v>
      </c>
      <c r="GV38" s="34">
        <f t="shared" si="36"/>
        <v>817.89760930277612</v>
      </c>
      <c r="GW38" s="30">
        <f t="shared" si="37"/>
        <v>417.28418516010368</v>
      </c>
      <c r="GX38" s="30">
        <f t="shared" si="3"/>
        <v>-237.2999979186045</v>
      </c>
      <c r="GY38" s="34">
        <f t="shared" si="38"/>
        <v>480.03893612591611</v>
      </c>
      <c r="GZ38" s="34">
        <f t="shared" si="4"/>
        <v>600.00039442543471</v>
      </c>
      <c r="HA38" s="34">
        <f t="shared" si="5"/>
        <v>1.1505331184196166E-3</v>
      </c>
      <c r="HB38" s="34">
        <f t="shared" si="39"/>
        <v>600.00039442653781</v>
      </c>
      <c r="HC38" s="33">
        <f t="shared" si="6"/>
        <v>0.69547242635168338</v>
      </c>
      <c r="HD38" s="33">
        <f t="shared" si="7"/>
        <v>-0.39550107014497071</v>
      </c>
      <c r="HE38" s="33">
        <f t="shared" si="40"/>
        <v>0.80006436759882926</v>
      </c>
      <c r="HF38" s="33">
        <f t="shared" si="41"/>
        <v>0.40406634827154514</v>
      </c>
      <c r="HG38" s="33">
        <f t="shared" si="8"/>
        <v>-0.42567925212031477</v>
      </c>
      <c r="HH38" s="33">
        <f t="shared" si="42"/>
        <v>0.58691774508120986</v>
      </c>
      <c r="HI38" s="30">
        <f t="shared" si="56"/>
        <v>0.3969374872223031</v>
      </c>
      <c r="HJ38" s="30">
        <f t="shared" si="43"/>
        <v>-0.43222608556272257</v>
      </c>
      <c r="HK38" s="33">
        <f t="shared" si="44"/>
        <v>0.5868379314625376</v>
      </c>
      <c r="HL38" s="61">
        <f t="shared" si="45"/>
        <v>0.38960065097942598</v>
      </c>
      <c r="HM38" s="61">
        <f t="shared" si="46"/>
        <v>-0.43853090082129764</v>
      </c>
      <c r="HN38" s="33">
        <f t="shared" si="47"/>
        <v>0.586598685831064</v>
      </c>
      <c r="HO38" s="30">
        <f t="shared" si="48"/>
        <v>-4.6284551934617983</v>
      </c>
      <c r="HP38" s="30">
        <f t="shared" si="49"/>
        <v>4.7132956579662988E-3</v>
      </c>
      <c r="HQ38" s="29">
        <v>70</v>
      </c>
      <c r="HR38" s="30">
        <v>439.82297150257102</v>
      </c>
      <c r="HS38" s="30">
        <f t="shared" si="50"/>
        <v>-4.6331684891197646</v>
      </c>
      <c r="HT38" s="30">
        <f t="shared" si="51"/>
        <v>-4.6331782862623001</v>
      </c>
      <c r="HU38" s="30">
        <f t="shared" si="52"/>
        <v>-9.7971425354614894E-6</v>
      </c>
      <c r="HV38" s="30">
        <f t="shared" si="53"/>
        <v>15.279458637362126</v>
      </c>
      <c r="HW38" s="30">
        <f t="shared" si="9"/>
        <v>15.27946887672465</v>
      </c>
      <c r="HX38" s="73">
        <f t="shared" si="10"/>
        <v>3.9442653780952242E-4</v>
      </c>
      <c r="HY38" s="30">
        <f t="shared" si="54"/>
        <v>15.284181730162627</v>
      </c>
      <c r="HZ38" s="74">
        <f t="shared" si="55"/>
        <v>-1.0239362524089302E-5</v>
      </c>
    </row>
    <row r="39" spans="1:234" ht="15" customHeight="1" thickBot="1">
      <c r="AI39" s="43" t="s">
        <v>47</v>
      </c>
      <c r="AJ39" s="136">
        <f>FP20</f>
        <v>4.7744999999999997</v>
      </c>
      <c r="AK39" s="136"/>
      <c r="AL39" s="136"/>
      <c r="AM39" s="136"/>
      <c r="AN39" s="42" t="s">
        <v>69</v>
      </c>
      <c r="AO39" s="42"/>
      <c r="AP39" s="104">
        <f>AJ39/1000000</f>
        <v>4.7744999999999998E-6</v>
      </c>
      <c r="AQ39" s="104"/>
      <c r="AR39" s="104"/>
      <c r="AS39" s="104"/>
      <c r="AT39" s="30" t="s">
        <v>70</v>
      </c>
      <c r="AW39" s="104"/>
      <c r="AX39" s="104"/>
      <c r="AY39" s="164"/>
      <c r="AZ39" s="164"/>
      <c r="BA39" s="160"/>
      <c r="BB39" s="160"/>
      <c r="BC39" s="142" t="s">
        <v>27</v>
      </c>
      <c r="BD39" s="142"/>
      <c r="BE39" s="142"/>
      <c r="BF39" s="142"/>
      <c r="BG39" s="142"/>
      <c r="BH39" s="142"/>
      <c r="BI39" s="104"/>
      <c r="BJ39" s="116"/>
      <c r="BK39" s="108"/>
      <c r="BL39" s="108"/>
      <c r="BM39" s="108"/>
      <c r="BN39" s="108" t="s">
        <v>67</v>
      </c>
      <c r="BO39" s="108"/>
      <c r="BP39" s="108"/>
      <c r="BQ39" s="108"/>
      <c r="BR39" s="104"/>
      <c r="BS39" s="164"/>
      <c r="BT39" s="142"/>
      <c r="BU39" s="142"/>
      <c r="BV39" s="142"/>
      <c r="BW39" s="158" t="s">
        <v>68</v>
      </c>
      <c r="BX39" s="158"/>
      <c r="BY39" s="158"/>
      <c r="BZ39" s="158"/>
      <c r="CA39" s="158"/>
      <c r="CB39" s="158"/>
      <c r="CC39" s="104"/>
      <c r="CD39" s="158" t="s">
        <v>68</v>
      </c>
      <c r="CE39" s="158"/>
      <c r="CF39" s="158"/>
      <c r="CG39" s="158"/>
      <c r="CH39" s="158"/>
      <c r="CI39" s="158"/>
      <c r="CJ39" s="104"/>
      <c r="CK39" s="159"/>
      <c r="CL39" s="155"/>
      <c r="CM39" s="155"/>
      <c r="CN39" s="156"/>
      <c r="CO39" s="108"/>
      <c r="CP39" s="159"/>
      <c r="CQ39" s="155"/>
      <c r="CR39" s="155"/>
      <c r="CS39" s="156"/>
      <c r="CT39" s="108"/>
      <c r="CU39" s="108"/>
      <c r="CV39" s="108"/>
      <c r="CW39" s="116"/>
      <c r="CX39" s="108"/>
      <c r="CY39" s="108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FO39" s="43" t="s">
        <v>220</v>
      </c>
      <c r="FP39" s="30">
        <f>SQRT(FP45^2+FR45^2)</f>
        <v>0.98077500398263884</v>
      </c>
      <c r="FT39" s="29">
        <v>80</v>
      </c>
      <c r="FU39" s="27">
        <f t="shared" si="12"/>
        <v>502.6548245743669</v>
      </c>
      <c r="FV39" s="30">
        <f t="shared" si="13"/>
        <v>214.23956916120849</v>
      </c>
      <c r="FW39" s="30">
        <f t="shared" si="14"/>
        <v>243.46161738414523</v>
      </c>
      <c r="FX39" s="34">
        <f t="shared" si="15"/>
        <v>324.30256263817</v>
      </c>
      <c r="FY39" s="30">
        <f t="shared" si="16"/>
        <v>138.33476087394124</v>
      </c>
      <c r="FZ39" s="30">
        <f t="shared" si="17"/>
        <v>-121.73080869207261</v>
      </c>
      <c r="GA39" s="34">
        <f t="shared" si="18"/>
        <v>184.26854275995262</v>
      </c>
      <c r="GB39" s="34">
        <f t="shared" si="19"/>
        <v>0.21310773665752772</v>
      </c>
      <c r="GC39" s="34">
        <f t="shared" si="20"/>
        <v>11.305716566723815</v>
      </c>
      <c r="GD39" s="34">
        <f t="shared" si="21"/>
        <v>11.30772488144793</v>
      </c>
      <c r="GE39" s="55">
        <f t="shared" si="22"/>
        <v>299.89344613167123</v>
      </c>
      <c r="GF39" s="55">
        <f t="shared" si="23"/>
        <v>-5.6528582833619074</v>
      </c>
      <c r="GG39" s="34">
        <f t="shared" si="24"/>
        <v>299.94671833427577</v>
      </c>
      <c r="GH39" s="30">
        <f t="shared" si="25"/>
        <v>259.54861830502011</v>
      </c>
      <c r="GI39" s="30">
        <f t="shared" si="0"/>
        <v>-538.41041673776351</v>
      </c>
      <c r="GJ39" s="34">
        <f t="shared" si="26"/>
        <v>597.70499589327278</v>
      </c>
      <c r="GK39" s="34">
        <f t="shared" si="27"/>
        <v>299.89344613167123</v>
      </c>
      <c r="GL39" s="34">
        <f t="shared" si="28"/>
        <v>-15921.147167472898</v>
      </c>
      <c r="GM39" s="34">
        <f t="shared" si="29"/>
        <v>15923.971339064983</v>
      </c>
      <c r="GN39" s="55">
        <f t="shared" si="1"/>
        <v>600.21310773665755</v>
      </c>
      <c r="GO39" s="55">
        <f t="shared" si="2"/>
        <v>11.305716566723815</v>
      </c>
      <c r="GP39" s="34">
        <f t="shared" si="30"/>
        <v>600.3195764973716</v>
      </c>
      <c r="GQ39" s="55">
        <f t="shared" si="31"/>
        <v>599.78689226334245</v>
      </c>
      <c r="GR39" s="55">
        <f t="shared" si="32"/>
        <v>-11.305716566723815</v>
      </c>
      <c r="GS39" s="34">
        <f t="shared" si="33"/>
        <v>599.89343666855154</v>
      </c>
      <c r="GT39" s="56">
        <f t="shared" si="34"/>
        <v>814.23956916120846</v>
      </c>
      <c r="GU39" s="56">
        <f t="shared" si="35"/>
        <v>243.46161738414523</v>
      </c>
      <c r="GV39" s="34">
        <f t="shared" si="36"/>
        <v>849.85859713668503</v>
      </c>
      <c r="GW39" s="30">
        <f t="shared" si="37"/>
        <v>385.7608739549969</v>
      </c>
      <c r="GX39" s="30">
        <f t="shared" si="3"/>
        <v>-243.46070835473418</v>
      </c>
      <c r="GY39" s="34">
        <f t="shared" si="38"/>
        <v>456.16287484528146</v>
      </c>
      <c r="GZ39" s="34">
        <f t="shared" si="4"/>
        <v>600.00044311620536</v>
      </c>
      <c r="HA39" s="34">
        <f t="shared" si="5"/>
        <v>9.0902941104786805E-4</v>
      </c>
      <c r="HB39" s="34">
        <f t="shared" si="39"/>
        <v>600.00044311689396</v>
      </c>
      <c r="HC39" s="33">
        <f t="shared" si="6"/>
        <v>0.64293370034189179</v>
      </c>
      <c r="HD39" s="33">
        <f t="shared" si="7"/>
        <v>-0.40576852166294936</v>
      </c>
      <c r="HE39" s="33">
        <f t="shared" si="40"/>
        <v>0.76027089659400549</v>
      </c>
      <c r="HF39" s="33">
        <f t="shared" si="41"/>
        <v>0.35282021417952469</v>
      </c>
      <c r="HG39" s="33">
        <f t="shared" si="8"/>
        <v>-0.40449924747212629</v>
      </c>
      <c r="HH39" s="33">
        <f t="shared" si="42"/>
        <v>0.536751101292957</v>
      </c>
      <c r="HI39" s="30">
        <f t="shared" si="56"/>
        <v>0.3450729765784184</v>
      </c>
      <c r="HJ39" s="30">
        <f t="shared" si="43"/>
        <v>-0.41100371984115297</v>
      </c>
      <c r="HK39" s="33">
        <f t="shared" si="44"/>
        <v>0.53665577131710296</v>
      </c>
      <c r="HL39" s="61">
        <f t="shared" si="45"/>
        <v>0.33709186907980387</v>
      </c>
      <c r="HM39" s="61">
        <f t="shared" si="46"/>
        <v>-0.4172073115459578</v>
      </c>
      <c r="HN39" s="33">
        <f t="shared" si="47"/>
        <v>0.53637008586154533</v>
      </c>
      <c r="HO39" s="30">
        <f t="shared" si="48"/>
        <v>-5.4045411163172368</v>
      </c>
      <c r="HP39" s="30">
        <f t="shared" si="49"/>
        <v>6.1593936645234493E-3</v>
      </c>
      <c r="HQ39" s="29">
        <v>80</v>
      </c>
      <c r="HR39" s="30">
        <v>502.6548245743669</v>
      </c>
      <c r="HS39" s="30">
        <f t="shared" si="50"/>
        <v>-5.4107005099817602</v>
      </c>
      <c r="HT39" s="30">
        <f t="shared" si="51"/>
        <v>-5.4107090275770702</v>
      </c>
      <c r="HU39" s="30">
        <f t="shared" si="52"/>
        <v>-8.5175953099536628E-6</v>
      </c>
      <c r="HV39" s="30">
        <f t="shared" si="53"/>
        <v>14.501927896047356</v>
      </c>
      <c r="HW39" s="30">
        <f t="shared" si="9"/>
        <v>14.501936855862654</v>
      </c>
      <c r="HX39" s="73">
        <f t="shared" si="10"/>
        <v>4.4311689396181464E-4</v>
      </c>
      <c r="HY39" s="30">
        <f t="shared" si="54"/>
        <v>14.508095807307189</v>
      </c>
      <c r="HZ39" s="74">
        <f t="shared" si="55"/>
        <v>-8.959815298581475E-6</v>
      </c>
    </row>
    <row r="40" spans="1:234" ht="15" customHeight="1">
      <c r="AI40" s="43" t="s">
        <v>48</v>
      </c>
      <c r="AJ40" s="136">
        <f>FP21</f>
        <v>0.125</v>
      </c>
      <c r="AK40" s="136"/>
      <c r="AL40" s="136"/>
      <c r="AM40" s="136"/>
      <c r="AN40" s="42" t="s">
        <v>69</v>
      </c>
      <c r="AO40" s="42"/>
      <c r="AP40" s="104">
        <f>AJ40/1000000</f>
        <v>1.2499999999999999E-7</v>
      </c>
      <c r="AQ40" s="104"/>
      <c r="AR40" s="104"/>
      <c r="AS40" s="104"/>
      <c r="AT40" s="30" t="s">
        <v>70</v>
      </c>
      <c r="AW40" s="142" t="s">
        <v>29</v>
      </c>
      <c r="AX40" s="142"/>
      <c r="AY40" s="164" t="s">
        <v>104</v>
      </c>
      <c r="AZ40" s="160" t="s">
        <v>30</v>
      </c>
      <c r="BA40" s="141">
        <v>1</v>
      </c>
      <c r="BB40" s="141"/>
      <c r="BC40" s="141"/>
      <c r="BD40" s="142" t="s">
        <v>33</v>
      </c>
      <c r="BE40" s="164" t="s">
        <v>104</v>
      </c>
      <c r="BF40" s="160" t="s">
        <v>105</v>
      </c>
      <c r="BG40" s="161" t="s">
        <v>106</v>
      </c>
      <c r="BH40" s="141"/>
      <c r="BI40" s="141"/>
      <c r="BJ40" s="142" t="s">
        <v>33</v>
      </c>
      <c r="BK40" s="164">
        <f>CQ36</f>
        <v>299.99833451350349</v>
      </c>
      <c r="BL40" s="164"/>
      <c r="BM40" s="164"/>
      <c r="BN40" s="164"/>
      <c r="BO40" s="165" t="s">
        <v>91</v>
      </c>
      <c r="BP40" s="142">
        <f>CV36</f>
        <v>-0.70685442284759692</v>
      </c>
      <c r="BQ40" s="142"/>
      <c r="BR40" s="142"/>
      <c r="BS40" s="142"/>
      <c r="BT40" s="160" t="s">
        <v>91</v>
      </c>
      <c r="BU40" s="141">
        <v>-1</v>
      </c>
      <c r="BV40" s="141"/>
      <c r="BW40" s="141"/>
      <c r="BX40" s="141"/>
      <c r="BY40" s="141"/>
      <c r="BZ40" s="104" t="s">
        <v>33</v>
      </c>
      <c r="CA40" s="151">
        <f>BK40</f>
        <v>299.99833451350349</v>
      </c>
      <c r="CB40" s="152"/>
      <c r="CC40" s="152"/>
      <c r="CD40" s="153"/>
      <c r="CE40" s="109" t="s">
        <v>91</v>
      </c>
      <c r="CF40" s="151">
        <f>BP40+BU40/BU41</f>
        <v>-127324.66132793915</v>
      </c>
      <c r="CG40" s="152"/>
      <c r="CH40" s="152"/>
      <c r="CI40" s="153"/>
      <c r="CJ40" s="108" t="s">
        <v>33</v>
      </c>
      <c r="CK40" s="108" t="s">
        <v>107</v>
      </c>
      <c r="CL40" s="108"/>
      <c r="CM40" s="115" t="s">
        <v>96</v>
      </c>
      <c r="CN40" s="108" t="s">
        <v>108</v>
      </c>
      <c r="CO40" s="108"/>
      <c r="CP40" s="2"/>
      <c r="CQ40" s="2"/>
      <c r="CR40" s="2"/>
      <c r="DL40" s="104"/>
      <c r="FO40" s="43" t="s">
        <v>221</v>
      </c>
      <c r="FP40" s="30">
        <f>SQRT(FP46^2+FR46^2)</f>
        <v>0.98076683674703058</v>
      </c>
      <c r="FT40" s="29">
        <v>90</v>
      </c>
      <c r="FU40" s="27">
        <f t="shared" si="12"/>
        <v>565.48667764616278</v>
      </c>
      <c r="FV40" s="30">
        <f t="shared" si="13"/>
        <v>242.98010513030249</v>
      </c>
      <c r="FW40" s="30">
        <f t="shared" si="14"/>
        <v>245.44207265540123</v>
      </c>
      <c r="FX40" s="34">
        <f t="shared" si="15"/>
        <v>345.37102153844944</v>
      </c>
      <c r="FY40" s="30">
        <f t="shared" si="16"/>
        <v>123.96449288939419</v>
      </c>
      <c r="FZ40" s="30">
        <f t="shared" si="17"/>
        <v>-122.72103632770062</v>
      </c>
      <c r="GA40" s="34">
        <f t="shared" si="18"/>
        <v>174.43522653027821</v>
      </c>
      <c r="GB40" s="34">
        <f t="shared" si="19"/>
        <v>0.26968903551084755</v>
      </c>
      <c r="GC40" s="34">
        <f t="shared" si="20"/>
        <v>12.71773128866284</v>
      </c>
      <c r="GD40" s="34">
        <f t="shared" si="21"/>
        <v>12.720590446457607</v>
      </c>
      <c r="GE40" s="55">
        <f t="shared" si="22"/>
        <v>299.86515548224457</v>
      </c>
      <c r="GF40" s="55">
        <f t="shared" si="23"/>
        <v>-6.35886564433142</v>
      </c>
      <c r="GG40" s="34">
        <f t="shared" si="24"/>
        <v>299.93257016315079</v>
      </c>
      <c r="GH40" s="30">
        <f t="shared" si="25"/>
        <v>245.17798592883997</v>
      </c>
      <c r="GI40" s="30">
        <f t="shared" si="0"/>
        <v>-493.10291014744206</v>
      </c>
      <c r="GJ40" s="34">
        <f t="shared" si="26"/>
        <v>550.69294963709024</v>
      </c>
      <c r="GK40" s="34">
        <f t="shared" si="27"/>
        <v>299.86515548224457</v>
      </c>
      <c r="GL40" s="34">
        <f t="shared" si="28"/>
        <v>-14153.464918257252</v>
      </c>
      <c r="GM40" s="34">
        <f t="shared" si="29"/>
        <v>14156.641137777391</v>
      </c>
      <c r="GN40" s="55">
        <f t="shared" si="1"/>
        <v>600.26968903551085</v>
      </c>
      <c r="GO40" s="55">
        <f t="shared" si="2"/>
        <v>12.71773128866284</v>
      </c>
      <c r="GP40" s="34">
        <f t="shared" si="30"/>
        <v>600.40439727230478</v>
      </c>
      <c r="GQ40" s="55">
        <f t="shared" si="31"/>
        <v>599.73031096448915</v>
      </c>
      <c r="GR40" s="55">
        <f t="shared" si="32"/>
        <v>-12.717731288662833</v>
      </c>
      <c r="GS40" s="34">
        <f t="shared" si="33"/>
        <v>599.86514032630157</v>
      </c>
      <c r="GT40" s="56">
        <f t="shared" si="34"/>
        <v>842.98010513030249</v>
      </c>
      <c r="GU40" s="56">
        <f t="shared" si="35"/>
        <v>245.44207265540126</v>
      </c>
      <c r="GV40" s="34">
        <f t="shared" si="36"/>
        <v>877.98477701773118</v>
      </c>
      <c r="GW40" s="30">
        <f t="shared" si="37"/>
        <v>357.02034342717246</v>
      </c>
      <c r="GX40" s="30">
        <f t="shared" si="3"/>
        <v>-245.44135171156111</v>
      </c>
      <c r="GY40" s="34">
        <f t="shared" si="38"/>
        <v>433.24933092949419</v>
      </c>
      <c r="GZ40" s="34">
        <f t="shared" si="4"/>
        <v>600.00044855747501</v>
      </c>
      <c r="HA40" s="34">
        <f t="shared" si="5"/>
        <v>7.2094384012189039E-4</v>
      </c>
      <c r="HB40" s="34">
        <f t="shared" si="39"/>
        <v>600.00044855790816</v>
      </c>
      <c r="HC40" s="33">
        <f t="shared" si="6"/>
        <v>0.5950329693411226</v>
      </c>
      <c r="HD40" s="33">
        <f t="shared" si="7"/>
        <v>-0.40906932867634987</v>
      </c>
      <c r="HE40" s="33">
        <f t="shared" si="40"/>
        <v>0.72208167839007864</v>
      </c>
      <c r="HF40" s="33">
        <f t="shared" si="41"/>
        <v>0.31227425423445976</v>
      </c>
      <c r="HG40" s="33">
        <f t="shared" si="8"/>
        <v>-0.38208118488424975</v>
      </c>
      <c r="HH40" s="33">
        <f t="shared" si="42"/>
        <v>0.49345844982150244</v>
      </c>
      <c r="HI40" s="30">
        <f t="shared" si="56"/>
        <v>0.30403521626404123</v>
      </c>
      <c r="HJ40" s="30">
        <f t="shared" si="43"/>
        <v>-0.38852847979672167</v>
      </c>
      <c r="HK40" s="33">
        <f t="shared" si="44"/>
        <v>0.49334753707895801</v>
      </c>
      <c r="HL40" s="61">
        <f t="shared" si="45"/>
        <v>0.29553802304239946</v>
      </c>
      <c r="HM40" s="61">
        <f t="shared" si="46"/>
        <v>-0.39461539599187689</v>
      </c>
      <c r="HN40" s="33">
        <f t="shared" si="47"/>
        <v>0.49301524704377614</v>
      </c>
      <c r="HO40" s="30">
        <f t="shared" si="48"/>
        <v>-6.1349881982023984</v>
      </c>
      <c r="HP40" s="30">
        <f t="shared" si="49"/>
        <v>7.797520115111034E-3</v>
      </c>
      <c r="HQ40" s="29">
        <v>90</v>
      </c>
      <c r="HR40" s="30">
        <v>565.48667764616278</v>
      </c>
      <c r="HS40" s="30">
        <f t="shared" si="50"/>
        <v>-6.1427857183175094</v>
      </c>
      <c r="HT40" s="30">
        <f t="shared" si="51"/>
        <v>-6.1427929895229685</v>
      </c>
      <c r="HU40" s="30">
        <f t="shared" si="52"/>
        <v>-7.2712054590695629E-6</v>
      </c>
      <c r="HV40" s="30">
        <f t="shared" si="53"/>
        <v>13.769843934101457</v>
      </c>
      <c r="HW40" s="30">
        <f t="shared" si="9"/>
        <v>13.769851647526906</v>
      </c>
      <c r="HX40" s="73">
        <f t="shared" si="10"/>
        <v>4.4855790815745422E-4</v>
      </c>
      <c r="HY40" s="30">
        <f t="shared" si="54"/>
        <v>13.777648725422027</v>
      </c>
      <c r="HZ40" s="74">
        <f t="shared" si="55"/>
        <v>-7.7134254485855536E-6</v>
      </c>
    </row>
    <row r="41" spans="1:234" ht="15" customHeight="1" thickBot="1">
      <c r="AE41" s="44"/>
      <c r="AI41" s="43"/>
      <c r="AW41" s="142"/>
      <c r="AX41" s="142"/>
      <c r="AY41" s="164"/>
      <c r="AZ41" s="160"/>
      <c r="BA41" s="164" t="s">
        <v>31</v>
      </c>
      <c r="BB41" s="164"/>
      <c r="BC41" s="164"/>
      <c r="BD41" s="142"/>
      <c r="BE41" s="164"/>
      <c r="BF41" s="160"/>
      <c r="BG41" s="158" t="s">
        <v>52</v>
      </c>
      <c r="BH41" s="158"/>
      <c r="BI41" s="158"/>
      <c r="BJ41" s="142"/>
      <c r="BK41" s="164"/>
      <c r="BL41" s="164"/>
      <c r="BM41" s="164"/>
      <c r="BN41" s="164"/>
      <c r="BO41" s="164"/>
      <c r="BP41" s="142"/>
      <c r="BQ41" s="142"/>
      <c r="BR41" s="142"/>
      <c r="BS41" s="142"/>
      <c r="BT41" s="142"/>
      <c r="BU41" s="164">
        <f>AJ43*AP40</f>
        <v>7.853981633974482E-6</v>
      </c>
      <c r="BV41" s="164"/>
      <c r="BW41" s="164"/>
      <c r="BX41" s="164"/>
      <c r="BY41" s="164"/>
      <c r="BZ41" s="104"/>
      <c r="CA41" s="159"/>
      <c r="CB41" s="155"/>
      <c r="CC41" s="155"/>
      <c r="CD41" s="156"/>
      <c r="CE41" s="108"/>
      <c r="CF41" s="159"/>
      <c r="CG41" s="155"/>
      <c r="CH41" s="155"/>
      <c r="CI41" s="156"/>
      <c r="CJ41" s="108"/>
      <c r="CK41" s="108"/>
      <c r="CL41" s="108"/>
      <c r="CM41" s="116"/>
      <c r="CN41" s="108"/>
      <c r="CO41" s="108"/>
      <c r="CP41" s="2"/>
      <c r="CQ41" s="2"/>
      <c r="CR41" s="2"/>
      <c r="CS41" s="105" t="s">
        <v>9</v>
      </c>
      <c r="CT41" s="105"/>
      <c r="CU41" s="105"/>
      <c r="CV41" s="105"/>
      <c r="CW41" s="104" t="s">
        <v>177</v>
      </c>
      <c r="CX41" s="105" t="s">
        <v>179</v>
      </c>
      <c r="CY41" s="105"/>
      <c r="CZ41" s="105"/>
      <c r="DA41" s="105"/>
      <c r="DB41" s="105"/>
      <c r="DC41" s="105"/>
      <c r="DD41" s="105"/>
      <c r="DE41" s="105"/>
      <c r="DF41" s="105"/>
      <c r="DL41" s="104"/>
      <c r="FT41" s="29">
        <f>FT26*10</f>
        <v>100</v>
      </c>
      <c r="FU41" s="27">
        <f t="shared" si="12"/>
        <v>628.31853071795865</v>
      </c>
      <c r="FV41" s="30">
        <f t="shared" si="13"/>
        <v>268.77072582126158</v>
      </c>
      <c r="FW41" s="30">
        <f t="shared" si="14"/>
        <v>244.3446124173895</v>
      </c>
      <c r="FX41" s="34">
        <f t="shared" si="15"/>
        <v>363.23820376702122</v>
      </c>
      <c r="FY41" s="30">
        <f t="shared" si="16"/>
        <v>111.06918254391468</v>
      </c>
      <c r="FZ41" s="30">
        <f t="shared" si="17"/>
        <v>-122.17230620869475</v>
      </c>
      <c r="GA41" s="34">
        <f t="shared" si="18"/>
        <v>165.11340259144475</v>
      </c>
      <c r="GB41" s="34">
        <f t="shared" si="19"/>
        <v>0.33291432607251509</v>
      </c>
      <c r="GC41" s="34">
        <f t="shared" si="20"/>
        <v>14.129322832146089</v>
      </c>
      <c r="GD41" s="34">
        <f t="shared" si="21"/>
        <v>14.13324434245404</v>
      </c>
      <c r="GE41" s="55">
        <f t="shared" si="22"/>
        <v>299.83354283696377</v>
      </c>
      <c r="GF41" s="55">
        <f t="shared" si="23"/>
        <v>-7.0646614160730445</v>
      </c>
      <c r="GG41" s="34">
        <f t="shared" si="24"/>
        <v>299.91675987028322</v>
      </c>
      <c r="GH41" s="30">
        <f t="shared" si="25"/>
        <v>232.28241493616881</v>
      </c>
      <c r="GI41" s="30">
        <f t="shared" si="0"/>
        <v>-455.51599264733096</v>
      </c>
      <c r="GJ41" s="34">
        <f t="shared" si="26"/>
        <v>511.32175764978138</v>
      </c>
      <c r="GK41" s="34">
        <f t="shared" si="27"/>
        <v>299.83354283696377</v>
      </c>
      <c r="GL41" s="34">
        <f t="shared" si="28"/>
        <v>-12739.4601087677</v>
      </c>
      <c r="GM41" s="34">
        <f t="shared" si="29"/>
        <v>12742.988033279074</v>
      </c>
      <c r="GN41" s="55">
        <f t="shared" si="1"/>
        <v>600.33291432607257</v>
      </c>
      <c r="GO41" s="55">
        <f t="shared" si="2"/>
        <v>14.129322832146089</v>
      </c>
      <c r="GP41" s="34">
        <f t="shared" si="30"/>
        <v>600.49916385198287</v>
      </c>
      <c r="GQ41" s="55">
        <f t="shared" si="31"/>
        <v>599.66708567392766</v>
      </c>
      <c r="GR41" s="55">
        <f t="shared" si="32"/>
        <v>-14.129322832146096</v>
      </c>
      <c r="GS41" s="34">
        <f t="shared" si="33"/>
        <v>599.83351974056654</v>
      </c>
      <c r="GT41" s="56">
        <f t="shared" si="34"/>
        <v>868.77072582126175</v>
      </c>
      <c r="GU41" s="56">
        <f t="shared" si="35"/>
        <v>244.3446124173895</v>
      </c>
      <c r="GV41" s="34">
        <f t="shared" si="36"/>
        <v>902.47817905000136</v>
      </c>
      <c r="GW41" s="30">
        <f t="shared" si="37"/>
        <v>331.22970618366065</v>
      </c>
      <c r="GX41" s="30">
        <f t="shared" si="3"/>
        <v>-244.34403637723207</v>
      </c>
      <c r="GY41" s="34">
        <f t="shared" si="38"/>
        <v>411.60311754362635</v>
      </c>
      <c r="GZ41" s="34">
        <f t="shared" si="4"/>
        <v>600.00043200492223</v>
      </c>
      <c r="HA41" s="34">
        <f t="shared" si="5"/>
        <v>5.7604015742640513E-4</v>
      </c>
      <c r="HB41" s="34">
        <f t="shared" si="39"/>
        <v>600.00043200519872</v>
      </c>
      <c r="HC41" s="33">
        <f t="shared" si="6"/>
        <v>0.55204872184855081</v>
      </c>
      <c r="HD41" s="33">
        <f t="shared" si="7"/>
        <v>-0.40724029741608619</v>
      </c>
      <c r="HE41" s="33">
        <f t="shared" si="40"/>
        <v>0.68600470197671459</v>
      </c>
      <c r="HF41" s="33">
        <f t="shared" si="41"/>
        <v>0.28000903149882223</v>
      </c>
      <c r="HG41" s="33">
        <f t="shared" si="8"/>
        <v>-0.3600062334385643</v>
      </c>
      <c r="HH41" s="33">
        <f t="shared" si="42"/>
        <v>0.45608063523408937</v>
      </c>
      <c r="HI41" s="30">
        <f t="shared" si="56"/>
        <v>0.2713759259790654</v>
      </c>
      <c r="HJ41" s="30">
        <f t="shared" si="43"/>
        <v>-0.36640037805419146</v>
      </c>
      <c r="HK41" s="33">
        <f t="shared" si="44"/>
        <v>0.45595408786329528</v>
      </c>
      <c r="HL41" s="61">
        <f t="shared" si="45"/>
        <v>0.26246129985552713</v>
      </c>
      <c r="HM41" s="61">
        <f t="shared" si="46"/>
        <v>-0.37237443081073057</v>
      </c>
      <c r="HN41" s="33">
        <f t="shared" si="47"/>
        <v>0.45557507684625209</v>
      </c>
      <c r="HO41" s="30">
        <f t="shared" si="48"/>
        <v>-6.8191673422681216</v>
      </c>
      <c r="HP41" s="30">
        <f t="shared" si="49"/>
        <v>9.6273817992535982E-3</v>
      </c>
      <c r="HQ41" s="29">
        <f>HQ26*10</f>
        <v>100</v>
      </c>
      <c r="HR41" s="30">
        <v>628.31853071795865</v>
      </c>
      <c r="HS41" s="30">
        <f t="shared" si="50"/>
        <v>-6.8287947240673752</v>
      </c>
      <c r="HT41" s="30">
        <f t="shared" si="51"/>
        <v>-6.8288008579787185</v>
      </c>
      <c r="HU41" s="30">
        <f t="shared" si="52"/>
        <v>-6.133911343297882E-6</v>
      </c>
      <c r="HV41" s="30">
        <f t="shared" si="53"/>
        <v>13.083836065645707</v>
      </c>
      <c r="HW41" s="30">
        <f t="shared" si="9"/>
        <v>13.083842641777039</v>
      </c>
      <c r="HX41" s="73">
        <f t="shared" si="10"/>
        <v>4.3200519871788856E-4</v>
      </c>
      <c r="HY41" s="30">
        <f t="shared" si="54"/>
        <v>13.093469581356304</v>
      </c>
      <c r="HZ41" s="74">
        <f t="shared" si="55"/>
        <v>-6.5761313319256942E-6</v>
      </c>
    </row>
    <row r="42" spans="1:234" ht="15" customHeight="1">
      <c r="AI42" s="43" t="s">
        <v>49</v>
      </c>
      <c r="AJ42" s="136">
        <f>FP23</f>
        <v>10</v>
      </c>
      <c r="AK42" s="136"/>
      <c r="AL42" s="136"/>
      <c r="AM42" s="136"/>
      <c r="AN42" s="30" t="s">
        <v>50</v>
      </c>
      <c r="AW42" s="104" t="s">
        <v>32</v>
      </c>
      <c r="AX42" s="104"/>
      <c r="AY42" s="104" t="s">
        <v>86</v>
      </c>
      <c r="AZ42" s="104"/>
      <c r="BA42" s="104"/>
      <c r="BB42" s="104" t="s">
        <v>33</v>
      </c>
      <c r="BC42" s="151">
        <f>DN34+AJ34</f>
        <v>600.00333097299301</v>
      </c>
      <c r="BD42" s="152"/>
      <c r="BE42" s="152"/>
      <c r="BF42" s="153"/>
      <c r="BG42" s="109" t="s">
        <v>105</v>
      </c>
      <c r="BH42" s="151">
        <f>DS34</f>
        <v>1.4137088456951938</v>
      </c>
      <c r="BI42" s="152"/>
      <c r="BJ42" s="152"/>
      <c r="BK42" s="153"/>
      <c r="BL42" s="108" t="s">
        <v>33</v>
      </c>
      <c r="BM42" s="108" t="s">
        <v>109</v>
      </c>
      <c r="BN42" s="108"/>
      <c r="BO42" s="115" t="s">
        <v>96</v>
      </c>
      <c r="BP42" s="108" t="s">
        <v>110</v>
      </c>
      <c r="BQ42" s="108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K42" s="5"/>
      <c r="CS42" s="104" t="s">
        <v>67</v>
      </c>
      <c r="CT42" s="104"/>
      <c r="CU42" s="104"/>
      <c r="CV42" s="104"/>
      <c r="CW42" s="104"/>
      <c r="CX42" s="30" t="s">
        <v>178</v>
      </c>
      <c r="FT42" s="29">
        <v>110</v>
      </c>
      <c r="FU42" s="27">
        <f t="shared" si="12"/>
        <v>691.15038378975453</v>
      </c>
      <c r="FV42" s="30">
        <f t="shared" si="13"/>
        <v>291.67723758013528</v>
      </c>
      <c r="FW42" s="30">
        <f t="shared" si="14"/>
        <v>241.06305527177005</v>
      </c>
      <c r="FX42" s="34">
        <f t="shared" si="15"/>
        <v>378.40059135701563</v>
      </c>
      <c r="FY42" s="30">
        <f t="shared" si="16"/>
        <v>99.615926664477826</v>
      </c>
      <c r="FZ42" s="30">
        <f t="shared" si="17"/>
        <v>-120.53152763588503</v>
      </c>
      <c r="GA42" s="34">
        <f t="shared" si="18"/>
        <v>156.3687372829452</v>
      </c>
      <c r="GB42" s="34">
        <f t="shared" si="19"/>
        <v>0.40277940268605289</v>
      </c>
      <c r="GC42" s="34">
        <f t="shared" si="20"/>
        <v>15.540444342566385</v>
      </c>
      <c r="GD42" s="34">
        <f t="shared" si="21"/>
        <v>15.545663112637932</v>
      </c>
      <c r="GE42" s="55">
        <f t="shared" si="22"/>
        <v>299.79861029865697</v>
      </c>
      <c r="GF42" s="55">
        <f t="shared" si="23"/>
        <v>-7.7702221712831925</v>
      </c>
      <c r="GG42" s="34">
        <f t="shared" si="24"/>
        <v>299.8992882445657</v>
      </c>
      <c r="GH42" s="30">
        <f t="shared" si="25"/>
        <v>220.82896620728738</v>
      </c>
      <c r="GI42" s="30">
        <f t="shared" si="0"/>
        <v>-423.57124258068421</v>
      </c>
      <c r="GJ42" s="34">
        <f t="shared" si="26"/>
        <v>477.67984032982184</v>
      </c>
      <c r="GK42" s="34">
        <f t="shared" si="27"/>
        <v>299.79861029865697</v>
      </c>
      <c r="GL42" s="34">
        <f t="shared" si="28"/>
        <v>-11582.675174309124</v>
      </c>
      <c r="GM42" s="34">
        <f t="shared" si="29"/>
        <v>11586.554423136065</v>
      </c>
      <c r="GN42" s="55">
        <f t="shared" si="1"/>
        <v>600.40277940268606</v>
      </c>
      <c r="GO42" s="55">
        <f t="shared" si="2"/>
        <v>15.540444342566385</v>
      </c>
      <c r="GP42" s="34">
        <f t="shared" si="30"/>
        <v>600.60386522635281</v>
      </c>
      <c r="GQ42" s="55">
        <f t="shared" si="31"/>
        <v>599.59722059731405</v>
      </c>
      <c r="GR42" s="55">
        <f t="shared" si="32"/>
        <v>-15.540444342566397</v>
      </c>
      <c r="GS42" s="34">
        <f t="shared" si="33"/>
        <v>599.79857648913151</v>
      </c>
      <c r="GT42" s="56">
        <f t="shared" si="34"/>
        <v>891.6772375801354</v>
      </c>
      <c r="GU42" s="56">
        <f t="shared" si="35"/>
        <v>241.06305527177005</v>
      </c>
      <c r="GV42" s="34">
        <f t="shared" si="36"/>
        <v>923.68809272151043</v>
      </c>
      <c r="GW42" s="30">
        <f t="shared" si="37"/>
        <v>308.32316775752105</v>
      </c>
      <c r="GX42" s="30">
        <f t="shared" si="3"/>
        <v>-241.06259079771547</v>
      </c>
      <c r="GY42" s="34">
        <f t="shared" si="38"/>
        <v>391.37494612984528</v>
      </c>
      <c r="GZ42" s="34">
        <f t="shared" si="4"/>
        <v>600.00040533765628</v>
      </c>
      <c r="HA42" s="34">
        <f t="shared" si="5"/>
        <v>4.6447405458138746E-4</v>
      </c>
      <c r="HB42" s="34">
        <f t="shared" si="39"/>
        <v>600.00040533783601</v>
      </c>
      <c r="HC42" s="33">
        <f t="shared" si="6"/>
        <v>0.51387128808980098</v>
      </c>
      <c r="HD42" s="33">
        <f t="shared" si="7"/>
        <v>-0.40177111104105945</v>
      </c>
      <c r="HE42" s="33">
        <f t="shared" si="40"/>
        <v>0.65229113621927948</v>
      </c>
      <c r="HF42" s="33">
        <f t="shared" si="41"/>
        <v>0.25411764364702655</v>
      </c>
      <c r="HG42" s="33">
        <f t="shared" si="8"/>
        <v>-0.33904761662538363</v>
      </c>
      <c r="HH42" s="33">
        <f t="shared" si="42"/>
        <v>0.42370870082176776</v>
      </c>
      <c r="HI42" s="30">
        <f t="shared" si="56"/>
        <v>0.24516547036641539</v>
      </c>
      <c r="HJ42" s="30">
        <f t="shared" si="43"/>
        <v>-0.34540184946047403</v>
      </c>
      <c r="HK42" s="33">
        <f t="shared" si="44"/>
        <v>0.42356645933159259</v>
      </c>
      <c r="HL42" s="61">
        <f t="shared" si="45"/>
        <v>0.23590878999938275</v>
      </c>
      <c r="HM42" s="61">
        <f t="shared" si="46"/>
        <v>-0.35127625043144234</v>
      </c>
      <c r="HN42" s="33">
        <f t="shared" si="47"/>
        <v>0.42314059284846006</v>
      </c>
      <c r="HO42" s="30">
        <f t="shared" si="48"/>
        <v>-7.4586523541513818</v>
      </c>
      <c r="HP42" s="30">
        <f t="shared" si="49"/>
        <v>1.1648711655993793E-2</v>
      </c>
      <c r="HQ42" s="29">
        <v>110</v>
      </c>
      <c r="HR42" s="30">
        <v>691.15038378975453</v>
      </c>
      <c r="HS42" s="30">
        <f t="shared" si="50"/>
        <v>-7.4703010658073756</v>
      </c>
      <c r="HT42" s="30">
        <f t="shared" si="51"/>
        <v>-7.4703061960705526</v>
      </c>
      <c r="HU42" s="30">
        <f t="shared" si="52"/>
        <v>-5.1302631769445384E-6</v>
      </c>
      <c r="HV42" s="30">
        <f t="shared" si="53"/>
        <v>12.442330727553873</v>
      </c>
      <c r="HW42" s="30">
        <f t="shared" si="9"/>
        <v>12.442336300037038</v>
      </c>
      <c r="HX42" s="73">
        <f t="shared" si="10"/>
        <v>4.0533783601404139E-4</v>
      </c>
      <c r="HY42" s="30">
        <f t="shared" si="54"/>
        <v>12.453984569473043</v>
      </c>
      <c r="HZ42" s="74">
        <f t="shared" si="55"/>
        <v>-5.5724831646841722E-6</v>
      </c>
    </row>
    <row r="43" spans="1:234" ht="15" customHeight="1" thickBot="1">
      <c r="C43" s="44"/>
      <c r="D43" s="44"/>
      <c r="E43" s="44"/>
      <c r="F43" s="44"/>
      <c r="G43" s="44"/>
      <c r="H43" s="44"/>
      <c r="AI43" s="43" t="s">
        <v>51</v>
      </c>
      <c r="AJ43" s="104">
        <f>2*PI()*AJ42</f>
        <v>62.831853071795862</v>
      </c>
      <c r="AK43" s="104"/>
      <c r="AL43" s="104"/>
      <c r="AM43" s="104"/>
      <c r="AW43" s="104"/>
      <c r="AX43" s="104"/>
      <c r="AY43" s="104"/>
      <c r="AZ43" s="104"/>
      <c r="BA43" s="104"/>
      <c r="BB43" s="104"/>
      <c r="BC43" s="159"/>
      <c r="BD43" s="155"/>
      <c r="BE43" s="155"/>
      <c r="BF43" s="156"/>
      <c r="BG43" s="109"/>
      <c r="BH43" s="159"/>
      <c r="BI43" s="155"/>
      <c r="BJ43" s="155"/>
      <c r="BK43" s="156"/>
      <c r="BL43" s="108"/>
      <c r="BM43" s="108"/>
      <c r="BN43" s="108"/>
      <c r="BO43" s="116"/>
      <c r="BP43" s="108"/>
      <c r="BQ43" s="108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FO43" s="43" t="s">
        <v>213</v>
      </c>
      <c r="FP43" s="30">
        <f>DH6</f>
        <v>0.99021870880715968</v>
      </c>
      <c r="FQ43" s="45" t="s">
        <v>212</v>
      </c>
      <c r="FR43" s="30">
        <f>DN6</f>
        <v>-8.8921775409995574E-2</v>
      </c>
      <c r="FS43" s="30" t="s">
        <v>137</v>
      </c>
      <c r="FT43" s="29">
        <v>120</v>
      </c>
      <c r="FU43" s="27">
        <f t="shared" si="12"/>
        <v>753.98223686155029</v>
      </c>
      <c r="FV43" s="30">
        <f t="shared" si="13"/>
        <v>311.89491875968679</v>
      </c>
      <c r="FW43" s="30">
        <f t="shared" si="14"/>
        <v>236.2913681863368</v>
      </c>
      <c r="FX43" s="34">
        <f t="shared" si="15"/>
        <v>391.29535012249073</v>
      </c>
      <c r="FY43" s="30">
        <f t="shared" si="16"/>
        <v>89.507086074702087</v>
      </c>
      <c r="FZ43" s="30">
        <f t="shared" si="17"/>
        <v>-118.1456840931684</v>
      </c>
      <c r="GA43" s="34">
        <f t="shared" si="18"/>
        <v>148.22253920179236</v>
      </c>
      <c r="GB43" s="34">
        <f t="shared" si="19"/>
        <v>0.47927961957328447</v>
      </c>
      <c r="GC43" s="34">
        <f t="shared" si="20"/>
        <v>16.951049017398081</v>
      </c>
      <c r="GD43" s="34">
        <f t="shared" si="21"/>
        <v>16.957823319753356</v>
      </c>
      <c r="GE43" s="55">
        <f t="shared" si="22"/>
        <v>299.76036019021336</v>
      </c>
      <c r="GF43" s="55">
        <f t="shared" si="23"/>
        <v>-8.4755245086990403</v>
      </c>
      <c r="GG43" s="34">
        <f t="shared" si="24"/>
        <v>299.88015615752903</v>
      </c>
      <c r="GH43" s="30">
        <f t="shared" si="25"/>
        <v>210.71997893969336</v>
      </c>
      <c r="GI43" s="30">
        <f t="shared" si="0"/>
        <v>-395.93208945964182</v>
      </c>
      <c r="GJ43" s="34">
        <f t="shared" si="26"/>
        <v>448.51435761659025</v>
      </c>
      <c r="GK43" s="34">
        <f t="shared" si="27"/>
        <v>299.76036019021336</v>
      </c>
      <c r="GL43" s="34">
        <f t="shared" si="28"/>
        <v>-10618.80506396839</v>
      </c>
      <c r="GM43" s="34">
        <f t="shared" si="29"/>
        <v>10623.03521881115</v>
      </c>
      <c r="GN43" s="55">
        <f t="shared" si="1"/>
        <v>600.47927961957328</v>
      </c>
      <c r="GO43" s="55">
        <f t="shared" si="2"/>
        <v>16.951049017398081</v>
      </c>
      <c r="GP43" s="34">
        <f t="shared" si="30"/>
        <v>600.71848924036942</v>
      </c>
      <c r="GQ43" s="55">
        <f t="shared" si="31"/>
        <v>599.52072038042661</v>
      </c>
      <c r="GR43" s="55">
        <f t="shared" si="32"/>
        <v>-16.951049017398077</v>
      </c>
      <c r="GS43" s="34">
        <f t="shared" si="33"/>
        <v>599.76031231505794</v>
      </c>
      <c r="GT43" s="56">
        <f t="shared" si="34"/>
        <v>911.89491875968668</v>
      </c>
      <c r="GU43" s="56">
        <f t="shared" si="35"/>
        <v>236.2913681863368</v>
      </c>
      <c r="GV43" s="34">
        <f t="shared" si="36"/>
        <v>942.01165254953537</v>
      </c>
      <c r="GW43" s="30">
        <f t="shared" si="37"/>
        <v>288.10545623742473</v>
      </c>
      <c r="GX43" s="30">
        <f t="shared" si="3"/>
        <v>-236.29099001928054</v>
      </c>
      <c r="GY43" s="34">
        <f t="shared" si="38"/>
        <v>372.60996481316278</v>
      </c>
      <c r="GZ43" s="34">
        <f t="shared" si="4"/>
        <v>600.00037499711152</v>
      </c>
      <c r="HA43" s="34">
        <f t="shared" si="5"/>
        <v>3.781670562545969E-4</v>
      </c>
      <c r="HB43" s="34">
        <f t="shared" si="39"/>
        <v>600.00037499723067</v>
      </c>
      <c r="HC43" s="33">
        <f t="shared" si="6"/>
        <v>0.48017521207328712</v>
      </c>
      <c r="HD43" s="33">
        <f t="shared" si="7"/>
        <v>-0.39381837320829088</v>
      </c>
      <c r="HE43" s="33">
        <f t="shared" si="40"/>
        <v>0.62101621988966671</v>
      </c>
      <c r="HF43" s="33">
        <f t="shared" si="41"/>
        <v>0.2331432804901741</v>
      </c>
      <c r="HG43" s="33">
        <f t="shared" si="8"/>
        <v>-0.31953327369316853</v>
      </c>
      <c r="HH43" s="33">
        <f t="shared" si="42"/>
        <v>0.39554683949539193</v>
      </c>
      <c r="HI43" s="30">
        <f t="shared" si="56"/>
        <v>0.22392967214377082</v>
      </c>
      <c r="HJ43" s="30">
        <f t="shared" si="43"/>
        <v>-0.32586473600951732</v>
      </c>
      <c r="HK43" s="33">
        <f t="shared" si="44"/>
        <v>0.3953888266516507</v>
      </c>
      <c r="HL43" s="61">
        <f t="shared" si="45"/>
        <v>0.21438853821681272</v>
      </c>
      <c r="HM43" s="61">
        <f t="shared" si="46"/>
        <v>-0.33165665991333282</v>
      </c>
      <c r="HN43" s="33">
        <f t="shared" si="47"/>
        <v>0.3949159219170707</v>
      </c>
      <c r="HO43" s="30">
        <f t="shared" si="48"/>
        <v>-8.0560416248730764</v>
      </c>
      <c r="HP43" s="30">
        <f t="shared" si="49"/>
        <v>1.3861242377863903E-2</v>
      </c>
      <c r="HQ43" s="29">
        <v>120</v>
      </c>
      <c r="HR43" s="30">
        <v>753.98223686155029</v>
      </c>
      <c r="HS43" s="30">
        <f t="shared" si="50"/>
        <v>-8.0699028672509403</v>
      </c>
      <c r="HT43" s="30">
        <f t="shared" si="51"/>
        <v>-8.0699071271769185</v>
      </c>
      <c r="HU43" s="30">
        <f t="shared" si="52"/>
        <v>-4.2599259781894716E-6</v>
      </c>
      <c r="HV43" s="30">
        <f t="shared" si="53"/>
        <v>11.842729796447507</v>
      </c>
      <c r="HW43" s="30">
        <f t="shared" si="9"/>
        <v>11.842734498593474</v>
      </c>
      <c r="HX43" s="73">
        <f t="shared" si="10"/>
        <v>3.7499723066503066E-4</v>
      </c>
      <c r="HY43" s="30">
        <f t="shared" si="54"/>
        <v>11.856595298751349</v>
      </c>
      <c r="HZ43" s="74">
        <f t="shared" si="55"/>
        <v>-4.7021459668172838E-6</v>
      </c>
    </row>
    <row r="44" spans="1:234" ht="15" customHeight="1">
      <c r="A44" s="43"/>
      <c r="L44" s="13"/>
      <c r="Q44" s="44"/>
      <c r="AW44" s="104" t="s">
        <v>120</v>
      </c>
      <c r="AX44" s="104"/>
      <c r="AY44" s="105" t="s">
        <v>123</v>
      </c>
      <c r="AZ44" s="105"/>
      <c r="BA44" s="105"/>
      <c r="BB44" s="105"/>
      <c r="BC44" s="105"/>
      <c r="BD44" s="105"/>
      <c r="BE44" s="105"/>
      <c r="BF44" s="105"/>
      <c r="BG44" s="104" t="s">
        <v>33</v>
      </c>
      <c r="BH44" s="106" t="s">
        <v>124</v>
      </c>
      <c r="BI44" s="106"/>
      <c r="BJ44" s="106"/>
      <c r="BK44" s="106"/>
      <c r="BL44" s="106"/>
      <c r="BM44" s="106"/>
      <c r="BN44" s="106"/>
      <c r="BO44" s="106"/>
      <c r="BP44" s="106"/>
      <c r="BQ44" s="106"/>
      <c r="BR44" s="106"/>
      <c r="BS44" s="106"/>
      <c r="BT44" s="106"/>
      <c r="BU44" s="106"/>
      <c r="BV44" s="106"/>
      <c r="BW44" s="104" t="s">
        <v>33</v>
      </c>
      <c r="BX44" s="21" t="s">
        <v>125</v>
      </c>
      <c r="BY44" s="22"/>
      <c r="BZ44" s="22"/>
      <c r="CA44" s="22"/>
      <c r="CB44" s="22"/>
      <c r="CC44" s="22"/>
      <c r="CD44" s="22"/>
      <c r="CE44" s="22"/>
      <c r="CF44" s="22"/>
      <c r="CG44" s="22"/>
      <c r="CH44" s="22"/>
      <c r="CI44" s="22"/>
      <c r="CJ44" s="22"/>
      <c r="CK44" s="22"/>
      <c r="CL44" s="22"/>
      <c r="CM44" s="22"/>
      <c r="CN44" s="22"/>
      <c r="CO44" s="22"/>
      <c r="CP44" s="22"/>
      <c r="CU44" s="3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FO44" s="43" t="s">
        <v>214</v>
      </c>
      <c r="FP44" s="30">
        <f>CP13</f>
        <v>0.965386398674144</v>
      </c>
      <c r="FQ44" s="45" t="s">
        <v>212</v>
      </c>
      <c r="FR44" s="30">
        <f>CW13</f>
        <v>-0.17307238351478069</v>
      </c>
      <c r="FS44" s="30" t="s">
        <v>137</v>
      </c>
      <c r="FT44" s="29">
        <v>130</v>
      </c>
      <c r="FU44" s="27">
        <f t="shared" si="12"/>
        <v>816.81408993334617</v>
      </c>
      <c r="FV44" s="30">
        <f t="shared" si="13"/>
        <v>329.6789781167127</v>
      </c>
      <c r="FW44" s="30">
        <f t="shared" si="14"/>
        <v>230.55190050622789</v>
      </c>
      <c r="FX44" s="34">
        <f t="shared" si="15"/>
        <v>402.29641738289632</v>
      </c>
      <c r="FY44" s="30">
        <f t="shared" si="16"/>
        <v>80.615056396189146</v>
      </c>
      <c r="FZ44" s="30">
        <f t="shared" si="17"/>
        <v>-115.27595025311395</v>
      </c>
      <c r="GA44" s="34">
        <f t="shared" si="18"/>
        <v>140.66745190170738</v>
      </c>
      <c r="GB44" s="34">
        <f t="shared" si="19"/>
        <v>0.56240989160600374</v>
      </c>
      <c r="GC44" s="34">
        <f t="shared" si="20"/>
        <v>18.361090111358475</v>
      </c>
      <c r="GD44" s="34">
        <f t="shared" si="21"/>
        <v>18.369701548027454</v>
      </c>
      <c r="GE44" s="55">
        <f t="shared" si="22"/>
        <v>299.71879505419696</v>
      </c>
      <c r="GF44" s="55">
        <f t="shared" si="23"/>
        <v>-9.1805450556792376</v>
      </c>
      <c r="GG44" s="34">
        <f t="shared" si="24"/>
        <v>299.85936456322167</v>
      </c>
      <c r="GH44" s="30">
        <f t="shared" si="25"/>
        <v>201.82783511134758</v>
      </c>
      <c r="GI44" s="30">
        <f t="shared" si="0"/>
        <v>-371.69417059168978</v>
      </c>
      <c r="GJ44" s="34">
        <f t="shared" si="26"/>
        <v>422.95511756872918</v>
      </c>
      <c r="GK44" s="34">
        <f t="shared" si="27"/>
        <v>299.71879505419696</v>
      </c>
      <c r="GL44" s="34">
        <f t="shared" si="28"/>
        <v>-9803.3308891723154</v>
      </c>
      <c r="GM44" s="34">
        <f t="shared" si="29"/>
        <v>9807.9114942330507</v>
      </c>
      <c r="GN44" s="55">
        <f t="shared" si="1"/>
        <v>600.56240989160597</v>
      </c>
      <c r="GO44" s="55">
        <f t="shared" si="2"/>
        <v>18.361090111358475</v>
      </c>
      <c r="GP44" s="34">
        <f t="shared" si="30"/>
        <v>600.84302259815809</v>
      </c>
      <c r="GQ44" s="55">
        <f t="shared" si="31"/>
        <v>599.43759010839392</v>
      </c>
      <c r="GR44" s="55">
        <f t="shared" si="32"/>
        <v>-18.361090111358482</v>
      </c>
      <c r="GS44" s="34">
        <f t="shared" si="33"/>
        <v>599.71872912644335</v>
      </c>
      <c r="GT44" s="56">
        <f t="shared" si="34"/>
        <v>929.67897811671264</v>
      </c>
      <c r="GU44" s="56">
        <f t="shared" si="35"/>
        <v>230.55190050622787</v>
      </c>
      <c r="GV44" s="34">
        <f t="shared" si="36"/>
        <v>957.83985153008155</v>
      </c>
      <c r="GW44" s="30">
        <f t="shared" si="37"/>
        <v>270.32136624563213</v>
      </c>
      <c r="GX44" s="30">
        <f t="shared" si="3"/>
        <v>-230.55158960898871</v>
      </c>
      <c r="GY44" s="34">
        <f t="shared" si="38"/>
        <v>355.28534520880078</v>
      </c>
      <c r="GZ44" s="34">
        <f t="shared" si="4"/>
        <v>600.00034436234478</v>
      </c>
      <c r="HA44" s="34">
        <f t="shared" si="5"/>
        <v>3.1089723918853451E-4</v>
      </c>
      <c r="HB44" s="34">
        <f t="shared" si="39"/>
        <v>600.00034436242527</v>
      </c>
      <c r="HC44" s="33">
        <f t="shared" si="6"/>
        <v>0.45053515272533112</v>
      </c>
      <c r="HD44" s="33">
        <f t="shared" si="7"/>
        <v>-0.38425266226162674</v>
      </c>
      <c r="HE44" s="33">
        <f t="shared" si="40"/>
        <v>0.59214190216229867</v>
      </c>
      <c r="HF44" s="33">
        <f t="shared" si="41"/>
        <v>0.21598580442165657</v>
      </c>
      <c r="HG44" s="33">
        <f t="shared" si="8"/>
        <v>-0.30155305395488941</v>
      </c>
      <c r="HH44" s="33">
        <f t="shared" si="42"/>
        <v>0.37092332369532999</v>
      </c>
      <c r="HI44" s="30">
        <f t="shared" si="56"/>
        <v>0.20655527883853278</v>
      </c>
      <c r="HJ44" s="30">
        <f t="shared" si="43"/>
        <v>-0.30787995128384282</v>
      </c>
      <c r="HK44" s="33">
        <f t="shared" si="44"/>
        <v>0.37074944048319947</v>
      </c>
      <c r="HL44" s="61">
        <f t="shared" si="45"/>
        <v>0.1967738696566419</v>
      </c>
      <c r="HM44" s="61">
        <f t="shared" si="46"/>
        <v>-0.31360762914985835</v>
      </c>
      <c r="HN44" s="33">
        <f t="shared" si="47"/>
        <v>0.37022925443655069</v>
      </c>
      <c r="HO44" s="30">
        <f t="shared" si="48"/>
        <v>-8.6143171466547912</v>
      </c>
      <c r="HP44" s="30">
        <f t="shared" si="49"/>
        <v>1.6264692340106635E-2</v>
      </c>
      <c r="HQ44" s="29">
        <v>130</v>
      </c>
      <c r="HR44" s="30">
        <v>816.81408993334617</v>
      </c>
      <c r="HS44" s="30">
        <f t="shared" si="50"/>
        <v>-8.6305818389948978</v>
      </c>
      <c r="HT44" s="30">
        <f t="shared" si="51"/>
        <v>-8.6305853508630328</v>
      </c>
      <c r="HU44" s="30">
        <f t="shared" si="52"/>
        <v>-3.5118681349644021E-6</v>
      </c>
      <c r="HV44" s="30">
        <f t="shared" si="53"/>
        <v>11.282051572761393</v>
      </c>
      <c r="HW44" s="30">
        <f t="shared" si="9"/>
        <v>11.282055526849517</v>
      </c>
      <c r="HX44" s="73">
        <f t="shared" si="10"/>
        <v>3.4436242526680871E-4</v>
      </c>
      <c r="HY44" s="30">
        <f t="shared" si="54"/>
        <v>11.298319776969635</v>
      </c>
      <c r="HZ44" s="74">
        <f t="shared" si="55"/>
        <v>-3.9540881235922143E-6</v>
      </c>
    </row>
    <row r="45" spans="1:234" ht="15" customHeight="1">
      <c r="AI45" s="43" t="s">
        <v>258</v>
      </c>
      <c r="AJ45" s="104">
        <v>3180</v>
      </c>
      <c r="AK45" s="104"/>
      <c r="AL45" s="104"/>
      <c r="AM45" s="104"/>
      <c r="AN45" s="30" t="s">
        <v>261</v>
      </c>
      <c r="AP45" s="104">
        <f>AJ45/1000000</f>
        <v>3.1800000000000001E-3</v>
      </c>
      <c r="AQ45" s="104"/>
      <c r="AR45" s="104"/>
      <c r="AS45" s="104"/>
      <c r="AT45" s="30" t="s">
        <v>262</v>
      </c>
      <c r="AW45" s="104"/>
      <c r="AX45" s="104"/>
      <c r="AY45" s="111" t="s">
        <v>121</v>
      </c>
      <c r="AZ45" s="111"/>
      <c r="BA45" s="111"/>
      <c r="BB45" s="111"/>
      <c r="BC45" s="111"/>
      <c r="BD45" s="111"/>
      <c r="BE45" s="111"/>
      <c r="BF45" s="111"/>
      <c r="BG45" s="104"/>
      <c r="BH45" s="112" t="s">
        <v>122</v>
      </c>
      <c r="BI45" s="112"/>
      <c r="BJ45" s="112"/>
      <c r="BK45" s="112"/>
      <c r="BL45" s="112"/>
      <c r="BM45" s="112"/>
      <c r="BN45" s="112"/>
      <c r="BO45" s="112"/>
      <c r="BP45" s="112"/>
      <c r="BQ45" s="112"/>
      <c r="BR45" s="112"/>
      <c r="BS45" s="112"/>
      <c r="BT45" s="112"/>
      <c r="BU45" s="112"/>
      <c r="BV45" s="112"/>
      <c r="BW45" s="104"/>
      <c r="BX45" s="112" t="s">
        <v>122</v>
      </c>
      <c r="BY45" s="112"/>
      <c r="BZ45" s="112"/>
      <c r="CA45" s="112"/>
      <c r="CB45" s="112"/>
      <c r="CC45" s="112"/>
      <c r="CD45" s="112"/>
      <c r="CE45" s="112"/>
      <c r="CF45" s="112"/>
      <c r="CG45" s="112"/>
      <c r="CH45" s="112"/>
      <c r="CI45" s="112"/>
      <c r="CJ45" s="112"/>
      <c r="CK45" s="112"/>
      <c r="CL45" s="11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FO45" s="43" t="s">
        <v>215</v>
      </c>
      <c r="FP45" s="30">
        <f>CV21</f>
        <v>0.9649732492815738</v>
      </c>
      <c r="FQ45" s="45" t="s">
        <v>212</v>
      </c>
      <c r="FR45" s="30">
        <f>DC21</f>
        <v>-0.17534604816792093</v>
      </c>
      <c r="FS45" s="30" t="s">
        <v>137</v>
      </c>
      <c r="FT45" s="29">
        <v>150</v>
      </c>
      <c r="FU45" s="27">
        <f t="shared" si="12"/>
        <v>942.47779607693792</v>
      </c>
      <c r="FV45" s="30">
        <f t="shared" si="13"/>
        <v>359.02691669169207</v>
      </c>
      <c r="FW45" s="30">
        <f t="shared" si="14"/>
        <v>217.59882898551928</v>
      </c>
      <c r="FX45" s="34">
        <f t="shared" si="15"/>
        <v>419.82088714714098</v>
      </c>
      <c r="FY45" s="30">
        <f t="shared" si="16"/>
        <v>65.941087108699421</v>
      </c>
      <c r="FZ45" s="30">
        <f t="shared" si="17"/>
        <v>-108.79941449275964</v>
      </c>
      <c r="GA45" s="34">
        <f t="shared" si="18"/>
        <v>127.2224019701106</v>
      </c>
      <c r="GB45" s="34">
        <f t="shared" si="19"/>
        <v>0.74853806898237774</v>
      </c>
      <c r="GC45" s="34">
        <f t="shared" si="20"/>
        <v>21.179294892623567</v>
      </c>
      <c r="GD45" s="34">
        <f t="shared" si="21"/>
        <v>21.192518523984511</v>
      </c>
      <c r="GE45" s="55">
        <f t="shared" si="22"/>
        <v>299.62573096550881</v>
      </c>
      <c r="GF45" s="55">
        <f t="shared" si="23"/>
        <v>-10.589647446311783</v>
      </c>
      <c r="GG45" s="34">
        <f t="shared" si="24"/>
        <v>299.8128070807727</v>
      </c>
      <c r="GH45" s="30">
        <f t="shared" si="25"/>
        <v>187.15370217865748</v>
      </c>
      <c r="GI45" s="30">
        <f t="shared" si="0"/>
        <v>-331.02853878655571</v>
      </c>
      <c r="GJ45" s="34">
        <f t="shared" si="26"/>
        <v>380.27148424558453</v>
      </c>
      <c r="GK45" s="34">
        <f t="shared" si="27"/>
        <v>299.62573096550881</v>
      </c>
      <c r="GL45" s="34">
        <f t="shared" si="28"/>
        <v>-8498.8532790140634</v>
      </c>
      <c r="GM45" s="34">
        <f t="shared" si="29"/>
        <v>8504.1332678212839</v>
      </c>
      <c r="GN45" s="55">
        <f t="shared" si="1"/>
        <v>600.74853806898238</v>
      </c>
      <c r="GO45" s="55">
        <f t="shared" si="2"/>
        <v>21.179294892623567</v>
      </c>
      <c r="GP45" s="34">
        <f t="shared" si="30"/>
        <v>601.12175848505797</v>
      </c>
      <c r="GQ45" s="55">
        <f t="shared" si="31"/>
        <v>599.25146193101762</v>
      </c>
      <c r="GR45" s="55">
        <f t="shared" si="32"/>
        <v>-21.179294892623556</v>
      </c>
      <c r="GS45" s="34">
        <f t="shared" si="33"/>
        <v>599.6256141615454</v>
      </c>
      <c r="GT45" s="56">
        <f t="shared" si="34"/>
        <v>959.02691669169212</v>
      </c>
      <c r="GU45" s="56">
        <f t="shared" si="35"/>
        <v>217.5988289855193</v>
      </c>
      <c r="GV45" s="34">
        <f t="shared" si="36"/>
        <v>983.40321197108312</v>
      </c>
      <c r="GW45" s="30">
        <f t="shared" si="37"/>
        <v>240.97337131978986</v>
      </c>
      <c r="GX45" s="30">
        <f t="shared" si="3"/>
        <v>-217.59861296754036</v>
      </c>
      <c r="GY45" s="34">
        <f t="shared" si="38"/>
        <v>324.68033825691191</v>
      </c>
      <c r="GZ45" s="34">
        <f t="shared" si="4"/>
        <v>600.00028801148187</v>
      </c>
      <c r="HA45" s="34">
        <f t="shared" si="5"/>
        <v>2.1601797891435126E-4</v>
      </c>
      <c r="HB45" s="34">
        <f t="shared" si="39"/>
        <v>600.00028801152075</v>
      </c>
      <c r="HC45" s="33">
        <f t="shared" si="6"/>
        <v>0.4016219621767313</v>
      </c>
      <c r="HD45" s="33">
        <f t="shared" si="7"/>
        <v>-0.36266432545602517</v>
      </c>
      <c r="HE45" s="33">
        <f t="shared" si="40"/>
        <v>0.54113363734031683</v>
      </c>
      <c r="HF45" s="33">
        <f t="shared" si="41"/>
        <v>0.19000517745915574</v>
      </c>
      <c r="HG45" s="33">
        <f t="shared" si="8"/>
        <v>-0.27000649813164557</v>
      </c>
      <c r="HH45" s="33">
        <f t="shared" si="42"/>
        <v>0.33015977419213199</v>
      </c>
      <c r="HI45" s="30">
        <f t="shared" si="56"/>
        <v>0.18023722186667795</v>
      </c>
      <c r="HJ45" s="30">
        <f t="shared" si="43"/>
        <v>-0.27637660736799319</v>
      </c>
      <c r="HK45" s="33">
        <f t="shared" si="44"/>
        <v>0.32995376228565715</v>
      </c>
      <c r="HL45" s="61">
        <f t="shared" si="45"/>
        <v>0.17006979122301516</v>
      </c>
      <c r="HM45" s="61">
        <f t="shared" si="46"/>
        <v>-0.28202802328248044</v>
      </c>
      <c r="HN45" s="33">
        <f t="shared" si="47"/>
        <v>0.3293380327312096</v>
      </c>
      <c r="HO45" s="30">
        <f t="shared" si="48"/>
        <v>-9.6255168231958343</v>
      </c>
      <c r="HP45" s="30">
        <f t="shared" si="49"/>
        <v>2.1643113745430043E-2</v>
      </c>
      <c r="HQ45" s="29">
        <v>150</v>
      </c>
      <c r="HR45" s="30">
        <v>942.47779607693792</v>
      </c>
      <c r="HS45" s="30">
        <f t="shared" si="50"/>
        <v>-9.6471599369412644</v>
      </c>
      <c r="HT45" s="30">
        <f t="shared" si="51"/>
        <v>-9.6471622608590266</v>
      </c>
      <c r="HU45" s="30">
        <f t="shared" si="52"/>
        <v>-2.3239177622258467E-6</v>
      </c>
      <c r="HV45" s="30">
        <f t="shared" si="53"/>
        <v>10.265474662765399</v>
      </c>
      <c r="HW45" s="30">
        <f t="shared" si="9"/>
        <v>10.26547742890315</v>
      </c>
      <c r="HX45" s="73">
        <f t="shared" si="10"/>
        <v>2.8801152075175196E-4</v>
      </c>
      <c r="HY45" s="30">
        <f t="shared" si="54"/>
        <v>10.287120100428591</v>
      </c>
      <c r="HZ45" s="74">
        <f t="shared" si="55"/>
        <v>-2.7661377508536589E-6</v>
      </c>
    </row>
    <row r="46" spans="1:234" ht="15" customHeight="1">
      <c r="AI46" s="43" t="s">
        <v>259</v>
      </c>
      <c r="AJ46" s="104">
        <v>318</v>
      </c>
      <c r="AK46" s="104"/>
      <c r="AL46" s="104"/>
      <c r="AM46" s="104"/>
      <c r="AN46" s="30" t="s">
        <v>261</v>
      </c>
      <c r="AP46" s="104">
        <f>AJ46/1000000</f>
        <v>3.1799999999999998E-4</v>
      </c>
      <c r="AQ46" s="104"/>
      <c r="AR46" s="104"/>
      <c r="AS46" s="104"/>
      <c r="AT46" s="30" t="s">
        <v>262</v>
      </c>
      <c r="BE46" s="2"/>
      <c r="BF46" s="2"/>
      <c r="BG46" s="104" t="s">
        <v>33</v>
      </c>
      <c r="BH46" s="110"/>
      <c r="BI46" s="110"/>
      <c r="BJ46" s="110"/>
      <c r="BK46" s="110"/>
      <c r="BL46" s="110"/>
      <c r="BM46" s="110"/>
      <c r="BN46" s="110"/>
      <c r="BO46" s="2"/>
      <c r="BP46" s="2"/>
      <c r="BQ46" s="2"/>
      <c r="BR46" s="2"/>
      <c r="BS46" s="2"/>
      <c r="BT46" s="2"/>
      <c r="BU46" s="2"/>
      <c r="BV46" s="2"/>
      <c r="BW46" s="104" t="s">
        <v>33</v>
      </c>
      <c r="BX46" s="23" t="s">
        <v>304</v>
      </c>
      <c r="BY46" s="23"/>
      <c r="BZ46" s="23"/>
      <c r="CA46" s="23"/>
      <c r="CB46" s="23"/>
      <c r="CC46" s="22"/>
      <c r="CD46" s="22"/>
      <c r="CE46" s="22"/>
      <c r="CF46" s="22"/>
      <c r="CG46" s="22"/>
      <c r="CH46" s="22"/>
      <c r="CI46" s="22"/>
      <c r="CJ46" s="22"/>
      <c r="CK46" s="22"/>
      <c r="CL46" s="22"/>
      <c r="CM46" s="22"/>
      <c r="CN46" s="22"/>
      <c r="CO46" s="22"/>
      <c r="CP46" s="22"/>
      <c r="CQ46" s="109" t="s">
        <v>115</v>
      </c>
      <c r="CR46" s="22" t="s">
        <v>306</v>
      </c>
      <c r="CS46" s="22"/>
      <c r="CT46" s="22"/>
      <c r="CU46" s="22"/>
      <c r="CV46" s="22"/>
      <c r="CW46" s="22"/>
      <c r="CX46" s="22"/>
      <c r="CY46" s="22"/>
      <c r="CZ46" s="22"/>
      <c r="DA46" s="22"/>
      <c r="DB46" s="22"/>
      <c r="DC46" s="22"/>
      <c r="DD46" s="22"/>
      <c r="DE46" s="22"/>
      <c r="DF46" s="22"/>
      <c r="DG46" s="22"/>
      <c r="DH46" s="22"/>
      <c r="DI46" s="22"/>
      <c r="FO46" s="43" t="s">
        <v>216</v>
      </c>
      <c r="FP46" s="30">
        <f>CV27</f>
        <v>0.96454939490911551</v>
      </c>
      <c r="FQ46" s="45" t="s">
        <v>212</v>
      </c>
      <c r="FR46" s="30">
        <f>DC27</f>
        <v>-0.17761771545438709</v>
      </c>
      <c r="FS46" s="30" t="s">
        <v>137</v>
      </c>
      <c r="FT46" s="29">
        <v>170</v>
      </c>
      <c r="FU46" s="27">
        <f t="shared" si="12"/>
        <v>1068.1415022205297</v>
      </c>
      <c r="FV46" s="30">
        <f t="shared" si="13"/>
        <v>381.73770521899513</v>
      </c>
      <c r="FW46" s="30">
        <f t="shared" si="14"/>
        <v>204.14415066054426</v>
      </c>
      <c r="FX46" s="34">
        <f t="shared" si="15"/>
        <v>432.89549528122768</v>
      </c>
      <c r="FY46" s="30">
        <f t="shared" si="16"/>
        <v>54.585692845047859</v>
      </c>
      <c r="FZ46" s="30">
        <f t="shared" si="17"/>
        <v>-102.07207533027213</v>
      </c>
      <c r="GA46" s="34">
        <f t="shared" si="18"/>
        <v>115.75105366951377</v>
      </c>
      <c r="GB46" s="34">
        <f t="shared" si="19"/>
        <v>0.96111450067281823</v>
      </c>
      <c r="GC46" s="34">
        <f t="shared" si="20"/>
        <v>23.994686064216122</v>
      </c>
      <c r="GD46" s="34">
        <f t="shared" si="21"/>
        <v>24.013927217423038</v>
      </c>
      <c r="GE46" s="55">
        <f t="shared" si="22"/>
        <v>299.5194427496636</v>
      </c>
      <c r="GF46" s="55">
        <f t="shared" si="23"/>
        <v>-11.997343032108061</v>
      </c>
      <c r="GG46" s="34">
        <f t="shared" si="24"/>
        <v>299.75962507465727</v>
      </c>
      <c r="GH46" s="30">
        <f t="shared" si="25"/>
        <v>175.79819854856456</v>
      </c>
      <c r="GI46" s="30">
        <f t="shared" si="0"/>
        <v>-298.15659676618895</v>
      </c>
      <c r="GJ46" s="34">
        <f t="shared" si="26"/>
        <v>346.12477924603479</v>
      </c>
      <c r="GK46" s="34">
        <f t="shared" si="27"/>
        <v>299.5194427496636</v>
      </c>
      <c r="GL46" s="34">
        <f t="shared" si="28"/>
        <v>-7501.6417238271833</v>
      </c>
      <c r="GM46" s="34">
        <f t="shared" si="29"/>
        <v>7507.618826848493</v>
      </c>
      <c r="GN46" s="55">
        <f t="shared" si="1"/>
        <v>600.96111450067281</v>
      </c>
      <c r="GO46" s="55">
        <f t="shared" si="2"/>
        <v>23.994686064216122</v>
      </c>
      <c r="GP46" s="34">
        <f t="shared" si="30"/>
        <v>601.43994388568092</v>
      </c>
      <c r="GQ46" s="55">
        <f t="shared" si="31"/>
        <v>599.03888549932708</v>
      </c>
      <c r="GR46" s="55">
        <f t="shared" si="32"/>
        <v>-23.994686064216101</v>
      </c>
      <c r="GS46" s="34">
        <f t="shared" si="33"/>
        <v>599.51925014931442</v>
      </c>
      <c r="GT46" s="56">
        <f t="shared" si="34"/>
        <v>981.73770521899496</v>
      </c>
      <c r="GU46" s="56">
        <f t="shared" si="35"/>
        <v>204.14415066054428</v>
      </c>
      <c r="GV46" s="34">
        <f t="shared" si="36"/>
        <v>1002.7381293725562</v>
      </c>
      <c r="GW46" s="30">
        <f t="shared" si="37"/>
        <v>218.26253577520043</v>
      </c>
      <c r="GX46" s="30">
        <f t="shared" si="3"/>
        <v>-204.14399546849563</v>
      </c>
      <c r="GY46" s="34">
        <f t="shared" si="38"/>
        <v>298.8533175470231</v>
      </c>
      <c r="GZ46" s="34">
        <f t="shared" si="4"/>
        <v>600.00024099419556</v>
      </c>
      <c r="HA46" s="34">
        <f t="shared" si="5"/>
        <v>1.5519204862357583E-4</v>
      </c>
      <c r="HB46" s="34">
        <f t="shared" si="39"/>
        <v>600.00024099421557</v>
      </c>
      <c r="HC46" s="33">
        <f t="shared" si="6"/>
        <v>0.36377065884341381</v>
      </c>
      <c r="HD46" s="33">
        <f t="shared" si="7"/>
        <v>-0.34023994987826062</v>
      </c>
      <c r="HE46" s="33">
        <f t="shared" si="40"/>
        <v>0.49808866251756084</v>
      </c>
      <c r="HF46" s="33">
        <f t="shared" si="41"/>
        <v>0.17166028262857513</v>
      </c>
      <c r="HG46" s="33">
        <f t="shared" si="8"/>
        <v>-0.24363677920770138</v>
      </c>
      <c r="HH46" s="33">
        <f t="shared" si="42"/>
        <v>0.2980371332817851</v>
      </c>
      <c r="HI46" s="30">
        <f t="shared" si="56"/>
        <v>0.16164199393255937</v>
      </c>
      <c r="HJ46" s="30">
        <f t="shared" si="43"/>
        <v>-0.25011139879099054</v>
      </c>
      <c r="HK46" s="33">
        <f t="shared" si="44"/>
        <v>0.29779833110291176</v>
      </c>
      <c r="HL46" s="61">
        <f t="shared" si="45"/>
        <v>0.15117221152493984</v>
      </c>
      <c r="HM46" s="61">
        <f t="shared" si="46"/>
        <v>-0.25574727769111999</v>
      </c>
      <c r="HN46" s="33">
        <f t="shared" si="47"/>
        <v>0.29708535403779163</v>
      </c>
      <c r="HO46" s="30">
        <f t="shared" si="48"/>
        <v>-10.51459245171703</v>
      </c>
      <c r="HP46" s="30">
        <f t="shared" si="49"/>
        <v>2.7781251516307393E-2</v>
      </c>
      <c r="HQ46" s="29">
        <v>170</v>
      </c>
      <c r="HR46" s="30">
        <v>1068.1415022205297</v>
      </c>
      <c r="HS46" s="30">
        <f t="shared" si="50"/>
        <v>-10.542373703233338</v>
      </c>
      <c r="HT46" s="30">
        <f t="shared" si="51"/>
        <v>-10.542375157622663</v>
      </c>
      <c r="HU46" s="30">
        <f t="shared" si="52"/>
        <v>-1.4543893254170825E-6</v>
      </c>
      <c r="HV46" s="30">
        <f t="shared" si="53"/>
        <v>9.3702617660017626</v>
      </c>
      <c r="HW46" s="30">
        <f t="shared" si="9"/>
        <v>9.3702636626110767</v>
      </c>
      <c r="HX46" s="73">
        <f t="shared" si="10"/>
        <v>2.4099421557366441E-4</v>
      </c>
      <c r="HY46" s="30">
        <f t="shared" si="54"/>
        <v>9.3980444719073954</v>
      </c>
      <c r="HZ46" s="74">
        <f t="shared" si="55"/>
        <v>-1.8966093140448947E-6</v>
      </c>
    </row>
    <row r="47" spans="1:234" ht="15" customHeight="1" thickBot="1">
      <c r="X47" s="44"/>
      <c r="Y47" s="44"/>
      <c r="Z47" s="44"/>
      <c r="AI47" s="43" t="s">
        <v>260</v>
      </c>
      <c r="AJ47" s="104">
        <v>75</v>
      </c>
      <c r="AK47" s="104"/>
      <c r="AL47" s="104"/>
      <c r="AM47" s="104"/>
      <c r="AN47" s="30" t="s">
        <v>261</v>
      </c>
      <c r="AP47" s="104">
        <f>AJ47/1000000</f>
        <v>7.4999999999999993E-5</v>
      </c>
      <c r="AQ47" s="104"/>
      <c r="AR47" s="104"/>
      <c r="AS47" s="104"/>
      <c r="AT47" s="30" t="s">
        <v>262</v>
      </c>
      <c r="BE47" s="2"/>
      <c r="BF47" s="2"/>
      <c r="BG47" s="104"/>
      <c r="BH47" s="116">
        <f>(CA40+BC42)^2+(CF40+BH42)^2</f>
        <v>16212019387.270866</v>
      </c>
      <c r="BI47" s="116"/>
      <c r="BJ47" s="116"/>
      <c r="BK47" s="116"/>
      <c r="BL47" s="116"/>
      <c r="BM47" s="116"/>
      <c r="BN47" s="116"/>
      <c r="BO47" s="2"/>
      <c r="BP47" s="2"/>
      <c r="BQ47" s="2"/>
      <c r="BR47" s="2"/>
      <c r="BS47" s="2"/>
      <c r="BT47" s="2"/>
      <c r="BU47" s="2"/>
      <c r="BV47" s="2"/>
      <c r="BW47" s="104"/>
      <c r="BX47" s="112" t="s">
        <v>305</v>
      </c>
      <c r="BY47" s="112"/>
      <c r="BZ47" s="112"/>
      <c r="CA47" s="112"/>
      <c r="CB47" s="112"/>
      <c r="CC47" s="112"/>
      <c r="CD47" s="112"/>
      <c r="CE47" s="112"/>
      <c r="CF47" s="112"/>
      <c r="CG47" s="112"/>
      <c r="CH47" s="112"/>
      <c r="CI47" s="112"/>
      <c r="CJ47" s="112"/>
      <c r="CK47" s="112"/>
      <c r="CL47" s="112"/>
      <c r="CM47" s="22"/>
      <c r="CN47" s="22"/>
      <c r="CO47" s="22"/>
      <c r="CP47" s="22"/>
      <c r="CQ47" s="109"/>
      <c r="CR47" s="112" t="s">
        <v>122</v>
      </c>
      <c r="CS47" s="112"/>
      <c r="CT47" s="112"/>
      <c r="CU47" s="112"/>
      <c r="CV47" s="112"/>
      <c r="CW47" s="112"/>
      <c r="CX47" s="112"/>
      <c r="CY47" s="112"/>
      <c r="CZ47" s="112"/>
      <c r="DA47" s="112"/>
      <c r="DB47" s="112"/>
      <c r="DC47" s="112"/>
      <c r="DD47" s="112"/>
      <c r="DE47" s="112"/>
      <c r="DF47" s="112"/>
      <c r="DG47" s="22"/>
      <c r="DH47" s="22"/>
      <c r="DI47" s="22"/>
      <c r="FT47" s="29">
        <v>200</v>
      </c>
      <c r="FU47" s="27">
        <f t="shared" si="12"/>
        <v>1256.6370614359173</v>
      </c>
      <c r="FV47" s="30">
        <f t="shared" si="13"/>
        <v>406.84498749049624</v>
      </c>
      <c r="FW47" s="30">
        <f t="shared" si="14"/>
        <v>184.93528355545885</v>
      </c>
      <c r="FX47" s="34">
        <f t="shared" si="15"/>
        <v>446.90480300605407</v>
      </c>
      <c r="FY47" s="30">
        <f t="shared" si="16"/>
        <v>42.03205170929737</v>
      </c>
      <c r="FZ47" s="30">
        <f t="shared" si="17"/>
        <v>-92.467641777729426</v>
      </c>
      <c r="GA47" s="34">
        <f t="shared" si="18"/>
        <v>101.57242808374495</v>
      </c>
      <c r="GB47" s="34">
        <f t="shared" si="19"/>
        <v>1.3294443489426646</v>
      </c>
      <c r="GC47" s="34">
        <f t="shared" si="20"/>
        <v>28.211685293308221</v>
      </c>
      <c r="GD47" s="34">
        <f t="shared" si="21"/>
        <v>28.242992216930539</v>
      </c>
      <c r="GE47" s="55">
        <f t="shared" si="22"/>
        <v>299.33527782552869</v>
      </c>
      <c r="GF47" s="55">
        <f t="shared" si="23"/>
        <v>-14.105842646654111</v>
      </c>
      <c r="GG47" s="34">
        <f t="shared" si="24"/>
        <v>299.66745460202816</v>
      </c>
      <c r="GH47" s="30">
        <f t="shared" si="25"/>
        <v>163.24445071645181</v>
      </c>
      <c r="GI47" s="30">
        <f t="shared" si="0"/>
        <v>-259.1394849984365</v>
      </c>
      <c r="GJ47" s="34">
        <f t="shared" si="26"/>
        <v>306.27115988119249</v>
      </c>
      <c r="GK47" s="34">
        <f t="shared" si="27"/>
        <v>299.33527782552869</v>
      </c>
      <c r="GL47" s="34">
        <f t="shared" si="28"/>
        <v>-6380.3035663224682</v>
      </c>
      <c r="GM47" s="34">
        <f t="shared" si="29"/>
        <v>6387.3214422775127</v>
      </c>
      <c r="GN47" s="55">
        <f t="shared" si="1"/>
        <v>601.32944434894262</v>
      </c>
      <c r="GO47" s="55">
        <f t="shared" si="2"/>
        <v>28.211685293308221</v>
      </c>
      <c r="GP47" s="34">
        <f t="shared" si="30"/>
        <v>601.99086357526778</v>
      </c>
      <c r="GQ47" s="55">
        <f t="shared" si="31"/>
        <v>598.67055565105738</v>
      </c>
      <c r="GR47" s="55">
        <f t="shared" si="32"/>
        <v>-28.211685293308211</v>
      </c>
      <c r="GS47" s="34">
        <f t="shared" si="33"/>
        <v>599.33490920405632</v>
      </c>
      <c r="GT47" s="56">
        <f t="shared" si="34"/>
        <v>1006.8449874904964</v>
      </c>
      <c r="GU47" s="56">
        <f t="shared" si="35"/>
        <v>184.93528355545885</v>
      </c>
      <c r="GV47" s="34">
        <f t="shared" si="36"/>
        <v>1023.6883744277238</v>
      </c>
      <c r="GW47" s="30">
        <f t="shared" si="37"/>
        <v>193.15519936997373</v>
      </c>
      <c r="GX47" s="30">
        <f t="shared" si="3"/>
        <v>-184.93518389263701</v>
      </c>
      <c r="GY47" s="34">
        <f t="shared" si="38"/>
        <v>267.4134500825599</v>
      </c>
      <c r="GZ47" s="34">
        <f t="shared" si="4"/>
        <v>600.00018686046997</v>
      </c>
      <c r="HA47" s="34">
        <f t="shared" si="5"/>
        <v>9.9662821838819582E-5</v>
      </c>
      <c r="HB47" s="34">
        <f t="shared" si="39"/>
        <v>600.00018686047827</v>
      </c>
      <c r="HC47" s="33">
        <f t="shared" si="6"/>
        <v>0.32192518082713933</v>
      </c>
      <c r="HD47" s="33">
        <f t="shared" si="7"/>
        <v>-0.30822526396915212</v>
      </c>
      <c r="HE47" s="33">
        <f t="shared" si="40"/>
        <v>0.44568894466818432</v>
      </c>
      <c r="HF47" s="33">
        <f t="shared" si="41"/>
        <v>0.15294438600584426</v>
      </c>
      <c r="HG47" s="33">
        <f t="shared" si="8"/>
        <v>-0.21177040599579908</v>
      </c>
      <c r="HH47" s="33">
        <f t="shared" si="42"/>
        <v>0.26122536260158635</v>
      </c>
      <c r="HI47" s="30">
        <f t="shared" si="56"/>
        <v>0.142648167509065</v>
      </c>
      <c r="HJ47" s="30">
        <f t="shared" si="43"/>
        <v>-0.21849254252221698</v>
      </c>
      <c r="HK47" s="33">
        <f t="shared" si="44"/>
        <v>0.26093579829436409</v>
      </c>
      <c r="HL47" s="61">
        <f t="shared" si="45"/>
        <v>0.13181463300033114</v>
      </c>
      <c r="HM47" s="61">
        <f t="shared" si="46"/>
        <v>-0.22419364247588339</v>
      </c>
      <c r="HN47" s="33">
        <f t="shared" si="47"/>
        <v>0.26007284902429978</v>
      </c>
      <c r="HO47" s="30">
        <f t="shared" si="48"/>
        <v>-11.65969318628704</v>
      </c>
      <c r="HP47" s="30">
        <f t="shared" si="49"/>
        <v>3.8405948514977695E-2</v>
      </c>
      <c r="HQ47" s="29">
        <v>200</v>
      </c>
      <c r="HR47" s="30">
        <v>1256.6370614359173</v>
      </c>
      <c r="HS47" s="30">
        <f t="shared" si="50"/>
        <v>-11.698099134802018</v>
      </c>
      <c r="HT47" s="30">
        <f t="shared" si="51"/>
        <v>-11.698099694599</v>
      </c>
      <c r="HU47" s="30">
        <f t="shared" si="52"/>
        <v>-5.5979698210251172E-7</v>
      </c>
      <c r="HV47" s="30">
        <f t="shared" si="53"/>
        <v>8.2145372290254262</v>
      </c>
      <c r="HW47" s="30">
        <f t="shared" si="9"/>
        <v>8.2145382310423969</v>
      </c>
      <c r="HX47" s="73">
        <f t="shared" si="10"/>
        <v>1.8686047826577123E-4</v>
      </c>
      <c r="HY47" s="30">
        <f t="shared" si="54"/>
        <v>8.252943737337386</v>
      </c>
      <c r="HZ47" s="74">
        <f t="shared" si="55"/>
        <v>-1.0020169707303239E-6</v>
      </c>
    </row>
    <row r="48" spans="1:234" ht="15" customHeight="1">
      <c r="BB48" s="108" t="s">
        <v>126</v>
      </c>
      <c r="BC48" s="108"/>
      <c r="BD48" s="108"/>
      <c r="BE48" s="108"/>
      <c r="BF48" s="108"/>
      <c r="BG48" s="108" t="s">
        <v>33</v>
      </c>
      <c r="BH48" s="151">
        <f>BX48/BY49</f>
        <v>599.99666902700687</v>
      </c>
      <c r="BI48" s="152"/>
      <c r="BJ48" s="152"/>
      <c r="BK48" s="153"/>
      <c r="BL48" s="109" t="s">
        <v>115</v>
      </c>
      <c r="BM48" s="151">
        <f>CR48/CR49</f>
        <v>-1.4137088456951923</v>
      </c>
      <c r="BN48" s="152"/>
      <c r="BO48" s="152"/>
      <c r="BP48" s="153"/>
      <c r="BW48" s="104" t="s">
        <v>33</v>
      </c>
      <c r="BX48" s="106">
        <f>(CA40*BC42-CF40*BH42)*(CA40+BC42)+(CF40+BH42)*(CF40*BC42+CA40*BH42)</f>
        <v>9727157630563.7773</v>
      </c>
      <c r="BY48" s="106"/>
      <c r="BZ48" s="106"/>
      <c r="CA48" s="106"/>
      <c r="CB48" s="106"/>
      <c r="CC48" s="106"/>
      <c r="CD48" s="106"/>
      <c r="CE48" s="14"/>
      <c r="CF48" s="14"/>
      <c r="CG48" s="14"/>
      <c r="CH48" s="14"/>
      <c r="CI48" s="14"/>
      <c r="CJ48" s="14"/>
      <c r="CK48" s="14"/>
      <c r="CL48" s="14"/>
      <c r="CM48" s="14"/>
      <c r="CN48" s="14"/>
      <c r="CO48" s="14"/>
      <c r="CP48" s="14"/>
      <c r="CQ48" s="160" t="s">
        <v>115</v>
      </c>
      <c r="CR48" s="106">
        <f>(CF40*BC42+CA40*BH42)*(CA40+BC42)-(CF40+BH42)*(CA40*BC42-CF40*BH42)</f>
        <v>-22919075214.366776</v>
      </c>
      <c r="CS48" s="106"/>
      <c r="CT48" s="106"/>
      <c r="CU48" s="106"/>
      <c r="CV48" s="106"/>
      <c r="CW48" s="106"/>
      <c r="CX48" s="106"/>
      <c r="CY48" s="106"/>
      <c r="CZ48" s="106"/>
      <c r="FO48" s="43" t="s">
        <v>217</v>
      </c>
      <c r="FP48" s="30">
        <f>FP49+FP58</f>
        <v>599.99680473599744</v>
      </c>
      <c r="FQ48" s="45" t="s">
        <v>212</v>
      </c>
      <c r="FR48" s="30">
        <f>FR49+FR58</f>
        <v>1.3313062378088603E-3</v>
      </c>
      <c r="FT48" s="29">
        <v>250</v>
      </c>
      <c r="FU48" s="27">
        <f t="shared" si="12"/>
        <v>1570.7963267948965</v>
      </c>
      <c r="FV48" s="30">
        <f t="shared" si="13"/>
        <v>433.57349682682502</v>
      </c>
      <c r="FW48" s="30">
        <f t="shared" si="14"/>
        <v>157.6679866646729</v>
      </c>
      <c r="FX48" s="34">
        <f t="shared" si="15"/>
        <v>461.35146165318724</v>
      </c>
      <c r="FY48" s="30">
        <f t="shared" si="16"/>
        <v>28.667797041132985</v>
      </c>
      <c r="FZ48" s="30">
        <f t="shared" si="17"/>
        <v>-78.833993332336448</v>
      </c>
      <c r="GA48" s="34">
        <f t="shared" si="18"/>
        <v>83.884689258019321</v>
      </c>
      <c r="GB48" s="34">
        <f t="shared" si="19"/>
        <v>2.0746710205377541</v>
      </c>
      <c r="GC48" s="34">
        <f t="shared" si="20"/>
        <v>35.220709142196348</v>
      </c>
      <c r="GD48" s="34">
        <f t="shared" si="21"/>
        <v>35.281760334805469</v>
      </c>
      <c r="GE48" s="55">
        <f t="shared" si="22"/>
        <v>298.96266448973114</v>
      </c>
      <c r="GF48" s="55">
        <f t="shared" si="23"/>
        <v>-17.610354571098174</v>
      </c>
      <c r="GG48" s="34">
        <f t="shared" si="24"/>
        <v>299.48088310761898</v>
      </c>
      <c r="GH48" s="30">
        <f t="shared" si="25"/>
        <v>149.88009604207548</v>
      </c>
      <c r="GI48" s="30">
        <f t="shared" si="0"/>
        <v>-212.17146790903553</v>
      </c>
      <c r="GJ48" s="34">
        <f t="shared" si="26"/>
        <v>259.77061994047108</v>
      </c>
      <c r="GK48" s="34">
        <f t="shared" si="27"/>
        <v>298.96266448973114</v>
      </c>
      <c r="GL48" s="34">
        <f t="shared" si="28"/>
        <v>-5110.5685335117496</v>
      </c>
      <c r="GM48" s="34">
        <f t="shared" si="29"/>
        <v>5119.305559397606</v>
      </c>
      <c r="GN48" s="55">
        <f t="shared" si="1"/>
        <v>602.07467102053772</v>
      </c>
      <c r="GO48" s="55">
        <f t="shared" si="2"/>
        <v>35.220709142196348</v>
      </c>
      <c r="GP48" s="34">
        <f t="shared" si="30"/>
        <v>603.10397763318383</v>
      </c>
      <c r="GQ48" s="55">
        <f t="shared" si="31"/>
        <v>597.92532897946217</v>
      </c>
      <c r="GR48" s="55">
        <f t="shared" si="32"/>
        <v>-35.22070914219632</v>
      </c>
      <c r="GS48" s="34">
        <f t="shared" si="33"/>
        <v>598.96176621523784</v>
      </c>
      <c r="GT48" s="56">
        <f t="shared" si="34"/>
        <v>1033.573496826825</v>
      </c>
      <c r="GU48" s="56">
        <f t="shared" si="35"/>
        <v>157.66798666467292</v>
      </c>
      <c r="GV48" s="34">
        <f t="shared" si="36"/>
        <v>1045.5301848161641</v>
      </c>
      <c r="GW48" s="30">
        <f t="shared" si="37"/>
        <v>166.42663099073411</v>
      </c>
      <c r="GX48" s="30">
        <f t="shared" si="3"/>
        <v>-157.66793340536569</v>
      </c>
      <c r="GY48" s="34">
        <f t="shared" si="38"/>
        <v>229.25313678823417</v>
      </c>
      <c r="GZ48" s="34">
        <f t="shared" si="4"/>
        <v>600.00012781755913</v>
      </c>
      <c r="HA48" s="34">
        <f t="shared" si="5"/>
        <v>5.3259307208008977E-5</v>
      </c>
      <c r="HB48" s="34">
        <f t="shared" si="39"/>
        <v>600.00012781756152</v>
      </c>
      <c r="HC48" s="33">
        <f t="shared" si="6"/>
        <v>0.2773776359025476</v>
      </c>
      <c r="HD48" s="33">
        <f t="shared" si="7"/>
        <v>-0.26277985765071071</v>
      </c>
      <c r="HE48" s="33">
        <f t="shared" si="40"/>
        <v>0.38208847991769401</v>
      </c>
      <c r="HF48" s="33">
        <f t="shared" si="41"/>
        <v>0.1346175366953446</v>
      </c>
      <c r="HG48" s="33">
        <f t="shared" si="8"/>
        <v>-0.17308182835585281</v>
      </c>
      <c r="HH48" s="33">
        <f t="shared" si="42"/>
        <v>0.21926969807277827</v>
      </c>
      <c r="HI48" s="30">
        <f t="shared" si="56"/>
        <v>0.12399195030107951</v>
      </c>
      <c r="HJ48" s="30">
        <f t="shared" si="43"/>
        <v>-0.18038555710904297</v>
      </c>
      <c r="HK48" s="33">
        <f t="shared" si="44"/>
        <v>0.21889027605858871</v>
      </c>
      <c r="HL48" s="61">
        <f t="shared" si="45"/>
        <v>0.11266314757377505</v>
      </c>
      <c r="HM48" s="61">
        <f t="shared" si="46"/>
        <v>-0.18635464273390562</v>
      </c>
      <c r="HN48" s="33">
        <f t="shared" si="47"/>
        <v>0.21776371986561907</v>
      </c>
      <c r="HO48" s="30">
        <f t="shared" si="48"/>
        <v>-13.180427628105758</v>
      </c>
      <c r="HP48" s="30">
        <f t="shared" si="49"/>
        <v>5.9862117492395228E-2</v>
      </c>
      <c r="HQ48" s="29">
        <v>250</v>
      </c>
      <c r="HR48" s="30">
        <v>1570.7963267948965</v>
      </c>
      <c r="HS48" s="30">
        <f t="shared" si="50"/>
        <v>-13.240289745598153</v>
      </c>
      <c r="HT48" s="30">
        <f t="shared" si="51"/>
        <v>-13.240289468153396</v>
      </c>
      <c r="HU48" s="30">
        <f t="shared" si="52"/>
        <v>2.7744475694646553E-7</v>
      </c>
      <c r="HV48" s="30">
        <f t="shared" si="53"/>
        <v>6.67234745547103</v>
      </c>
      <c r="HW48" s="30">
        <f t="shared" si="9"/>
        <v>6.6723476202462617</v>
      </c>
      <c r="HX48" s="73">
        <f t="shared" si="10"/>
        <v>1.2781756151980517E-4</v>
      </c>
      <c r="HY48" s="30">
        <f t="shared" si="54"/>
        <v>6.7322092955186683</v>
      </c>
      <c r="HZ48" s="74">
        <f t="shared" si="55"/>
        <v>-1.6477523168134667E-7</v>
      </c>
    </row>
    <row r="49" spans="7:234" ht="15" customHeight="1" thickBot="1">
      <c r="BB49" s="108"/>
      <c r="BC49" s="108"/>
      <c r="BD49" s="108"/>
      <c r="BE49" s="108"/>
      <c r="BF49" s="108"/>
      <c r="BG49" s="108"/>
      <c r="BH49" s="159"/>
      <c r="BI49" s="155"/>
      <c r="BJ49" s="155"/>
      <c r="BK49" s="156"/>
      <c r="BL49" s="108"/>
      <c r="BM49" s="159"/>
      <c r="BN49" s="155"/>
      <c r="BO49" s="155"/>
      <c r="BP49" s="166"/>
      <c r="BW49" s="104"/>
      <c r="BX49" s="14"/>
      <c r="BY49" s="108">
        <f>BH47</f>
        <v>16212019387.270866</v>
      </c>
      <c r="BZ49" s="108"/>
      <c r="CA49" s="108"/>
      <c r="CB49" s="108"/>
      <c r="CC49" s="108"/>
      <c r="CD49" s="108"/>
      <c r="CE49" s="14"/>
      <c r="CF49" s="14"/>
      <c r="CG49" s="14"/>
      <c r="CH49" s="14"/>
      <c r="CI49" s="14"/>
      <c r="CJ49" s="14"/>
      <c r="CK49" s="14"/>
      <c r="CL49" s="14"/>
      <c r="CM49" s="14"/>
      <c r="CN49" s="14"/>
      <c r="CO49" s="14"/>
      <c r="CP49" s="14"/>
      <c r="CQ49" s="160"/>
      <c r="CR49" s="108">
        <f>BY49</f>
        <v>16212019387.270866</v>
      </c>
      <c r="CS49" s="108"/>
      <c r="CT49" s="108"/>
      <c r="CU49" s="108"/>
      <c r="CV49" s="108"/>
      <c r="CW49" s="108"/>
      <c r="CX49" s="108"/>
      <c r="CY49" s="108"/>
      <c r="CZ49" s="108"/>
      <c r="FO49" s="43" t="s">
        <v>13</v>
      </c>
      <c r="FP49" s="30">
        <f>CX30</f>
        <v>5.8686250797822499</v>
      </c>
      <c r="FQ49" s="45" t="s">
        <v>212</v>
      </c>
      <c r="FR49" s="30">
        <f>DC30</f>
        <v>53.35279413934331</v>
      </c>
      <c r="FT49" s="29">
        <v>300</v>
      </c>
      <c r="FU49" s="27">
        <f t="shared" si="12"/>
        <v>1884.9555921538758</v>
      </c>
      <c r="FV49" s="30">
        <f t="shared" si="13"/>
        <v>449.61918165078765</v>
      </c>
      <c r="FW49" s="30">
        <f t="shared" si="14"/>
        <v>136.25246864241979</v>
      </c>
      <c r="FX49" s="34">
        <f t="shared" si="15"/>
        <v>469.81075309051579</v>
      </c>
      <c r="FY49" s="30">
        <f t="shared" si="16"/>
        <v>20.644954629151627</v>
      </c>
      <c r="FZ49" s="30">
        <f t="shared" si="17"/>
        <v>-68.126234321209893</v>
      </c>
      <c r="GA49" s="34">
        <f t="shared" si="18"/>
        <v>71.185658347929376</v>
      </c>
      <c r="GB49" s="34">
        <f t="shared" si="19"/>
        <v>2.982987876006991</v>
      </c>
      <c r="GC49" s="34">
        <f t="shared" si="20"/>
        <v>42.200645835529457</v>
      </c>
      <c r="GD49" s="34">
        <f t="shared" si="21"/>
        <v>42.305941965688397</v>
      </c>
      <c r="GE49" s="55">
        <f t="shared" si="22"/>
        <v>298.50850606199651</v>
      </c>
      <c r="GF49" s="55">
        <f t="shared" si="23"/>
        <v>-21.100322917764728</v>
      </c>
      <c r="GG49" s="34">
        <f t="shared" si="24"/>
        <v>299.25332382214066</v>
      </c>
      <c r="GH49" s="30">
        <f t="shared" si="25"/>
        <v>141.85719930573205</v>
      </c>
      <c r="GI49" s="30">
        <f t="shared" si="0"/>
        <v>-179.24079646851948</v>
      </c>
      <c r="GJ49" s="34">
        <f t="shared" si="26"/>
        <v>228.58418167829421</v>
      </c>
      <c r="GK49" s="34">
        <f t="shared" si="27"/>
        <v>298.50850606199651</v>
      </c>
      <c r="GL49" s="34">
        <f t="shared" si="28"/>
        <v>-4265.2321387016409</v>
      </c>
      <c r="GM49" s="34">
        <f t="shared" si="29"/>
        <v>4275.6651558798121</v>
      </c>
      <c r="GN49" s="55">
        <f t="shared" si="1"/>
        <v>602.98298787600697</v>
      </c>
      <c r="GO49" s="55">
        <f t="shared" si="2"/>
        <v>42.200645835529457</v>
      </c>
      <c r="GP49" s="34">
        <f t="shared" si="30"/>
        <v>604.4579209314843</v>
      </c>
      <c r="GQ49" s="55">
        <f t="shared" si="31"/>
        <v>597.01701212399291</v>
      </c>
      <c r="GR49" s="55">
        <f t="shared" si="32"/>
        <v>-42.200645835529443</v>
      </c>
      <c r="GS49" s="34">
        <f t="shared" si="33"/>
        <v>598.50664764428109</v>
      </c>
      <c r="GT49" s="56">
        <f t="shared" si="34"/>
        <v>1049.6191816507876</v>
      </c>
      <c r="GU49" s="56">
        <f t="shared" si="35"/>
        <v>136.25246864241979</v>
      </c>
      <c r="GV49" s="34">
        <f t="shared" si="36"/>
        <v>1058.4257941397793</v>
      </c>
      <c r="GW49" s="30">
        <f t="shared" si="37"/>
        <v>150.38091039239671</v>
      </c>
      <c r="GX49" s="30">
        <f t="shared" si="3"/>
        <v>-136.25243708360651</v>
      </c>
      <c r="GY49" s="34">
        <f t="shared" si="38"/>
        <v>202.92645175449209</v>
      </c>
      <c r="GZ49" s="34">
        <f t="shared" si="4"/>
        <v>600.0000920431844</v>
      </c>
      <c r="HA49" s="34">
        <f t="shared" si="5"/>
        <v>3.1558813276433284E-5</v>
      </c>
      <c r="HB49" s="34">
        <f t="shared" si="39"/>
        <v>600.00009204318519</v>
      </c>
      <c r="HC49" s="33">
        <f t="shared" si="6"/>
        <v>0.25063480026093926</v>
      </c>
      <c r="HD49" s="33">
        <f t="shared" si="7"/>
        <v>-0.22708737348583066</v>
      </c>
      <c r="HE49" s="33">
        <f t="shared" si="40"/>
        <v>0.3382107010408365</v>
      </c>
      <c r="HF49" s="33">
        <f t="shared" si="41"/>
        <v>0.12432585782947167</v>
      </c>
      <c r="HG49" s="33">
        <f t="shared" si="8"/>
        <v>-0.14595019966757625</v>
      </c>
      <c r="HH49" s="33">
        <f t="shared" si="42"/>
        <v>0.19172474985780885</v>
      </c>
      <c r="HI49" s="30">
        <f t="shared" si="56"/>
        <v>0.11344243247551221</v>
      </c>
      <c r="HJ49" s="30">
        <f t="shared" si="43"/>
        <v>-0.15396897269816082</v>
      </c>
      <c r="HK49" s="33">
        <f t="shared" si="44"/>
        <v>0.19124756217972594</v>
      </c>
      <c r="HL49" s="61">
        <f t="shared" si="45"/>
        <v>0.10166084597744195</v>
      </c>
      <c r="HM49" s="61">
        <f t="shared" si="46"/>
        <v>-0.16032216317719675</v>
      </c>
      <c r="HN49" s="33">
        <f t="shared" si="47"/>
        <v>0.18983709756173811</v>
      </c>
      <c r="HO49" s="30">
        <f t="shared" si="48"/>
        <v>-14.346436403590051</v>
      </c>
      <c r="HP49" s="30">
        <f t="shared" si="49"/>
        <v>8.59425707750745E-2</v>
      </c>
      <c r="HQ49" s="29">
        <v>300</v>
      </c>
      <c r="HR49" s="30">
        <v>1884.9555921538758</v>
      </c>
      <c r="HS49" s="30">
        <f t="shared" si="50"/>
        <v>-14.432378974365125</v>
      </c>
      <c r="HT49" s="30">
        <f t="shared" si="51"/>
        <v>-14.432378294229562</v>
      </c>
      <c r="HU49" s="30">
        <f t="shared" si="52"/>
        <v>6.8013556386858909E-7</v>
      </c>
      <c r="HV49" s="30">
        <f t="shared" si="53"/>
        <v>5.4802586293948643</v>
      </c>
      <c r="HW49" s="30">
        <f t="shared" si="9"/>
        <v>5.4802583914792891</v>
      </c>
      <c r="HX49" s="73">
        <f t="shared" si="10"/>
        <v>9.2043185190959775E-5</v>
      </c>
      <c r="HY49" s="30">
        <f t="shared" si="54"/>
        <v>5.5662005200343749</v>
      </c>
      <c r="HZ49" s="74">
        <f t="shared" si="55"/>
        <v>2.3791557524077689E-7</v>
      </c>
    </row>
    <row r="50" spans="7:234" ht="15" customHeight="1">
      <c r="G50" s="30" t="s">
        <v>236</v>
      </c>
      <c r="AW50" s="104" t="s">
        <v>60</v>
      </c>
      <c r="AX50" s="104"/>
      <c r="AY50" s="104" t="s">
        <v>131</v>
      </c>
      <c r="AZ50" s="104"/>
      <c r="BA50" s="104"/>
      <c r="BB50" s="104"/>
      <c r="BC50" s="104" t="s">
        <v>33</v>
      </c>
      <c r="BD50" s="104" t="s">
        <v>132</v>
      </c>
      <c r="BE50" s="104"/>
      <c r="BF50" s="104"/>
      <c r="BG50" s="104"/>
      <c r="BH50" s="104"/>
      <c r="BI50" s="104"/>
      <c r="BJ50" s="104"/>
      <c r="BK50" s="104"/>
      <c r="BL50" s="104"/>
      <c r="BM50" s="104"/>
      <c r="BN50" s="104"/>
      <c r="BO50" s="104" t="s">
        <v>33</v>
      </c>
      <c r="BP50" s="151">
        <f>CX30+AJ34</f>
        <v>605.8686250797823</v>
      </c>
      <c r="BQ50" s="152"/>
      <c r="BR50" s="152"/>
      <c r="BS50" s="152"/>
      <c r="BT50" s="153"/>
      <c r="BU50" s="109" t="s">
        <v>115</v>
      </c>
      <c r="BV50" s="151">
        <f>DC30</f>
        <v>53.35279413934331</v>
      </c>
      <c r="BW50" s="152"/>
      <c r="BX50" s="152"/>
      <c r="BY50" s="152"/>
      <c r="BZ50" s="152"/>
      <c r="CA50" s="153"/>
      <c r="CB50" s="108" t="s">
        <v>33</v>
      </c>
      <c r="CC50" s="108" t="s">
        <v>133</v>
      </c>
      <c r="CD50" s="108"/>
      <c r="CE50" s="108"/>
      <c r="CF50" s="108"/>
      <c r="FO50" s="43" t="s">
        <v>203</v>
      </c>
      <c r="FP50" s="30">
        <f>CU32</f>
        <v>242.52023291465434</v>
      </c>
      <c r="FQ50" s="45" t="s">
        <v>212</v>
      </c>
      <c r="FR50" s="30">
        <f>CZ32</f>
        <v>-26.676397069671655</v>
      </c>
      <c r="FT50" s="29">
        <v>400</v>
      </c>
      <c r="FU50" s="27">
        <f t="shared" si="12"/>
        <v>2513.2741228718346</v>
      </c>
      <c r="FV50" s="30">
        <f t="shared" si="13"/>
        <v>466.79621821202869</v>
      </c>
      <c r="FW50" s="30">
        <f t="shared" si="14"/>
        <v>106.09334467918686</v>
      </c>
      <c r="FX50" s="34">
        <f t="shared" si="15"/>
        <v>478.7008534797788</v>
      </c>
      <c r="FY50" s="30">
        <f t="shared" si="16"/>
        <v>12.056436348531131</v>
      </c>
      <c r="FZ50" s="30">
        <f t="shared" si="17"/>
        <v>-53.046672339593428</v>
      </c>
      <c r="GA50" s="34">
        <f t="shared" si="18"/>
        <v>54.399513818878653</v>
      </c>
      <c r="GB50" s="34">
        <f t="shared" si="19"/>
        <v>5.2826623676106976</v>
      </c>
      <c r="GC50" s="34">
        <f t="shared" si="20"/>
        <v>56.05078856605185</v>
      </c>
      <c r="GD50" s="34">
        <f t="shared" si="21"/>
        <v>56.299177796539972</v>
      </c>
      <c r="GE50" s="55">
        <f t="shared" si="22"/>
        <v>297.35866881619467</v>
      </c>
      <c r="GF50" s="55">
        <f t="shared" si="23"/>
        <v>-28.025394283025925</v>
      </c>
      <c r="GG50" s="34">
        <f t="shared" si="24"/>
        <v>298.67641461096053</v>
      </c>
      <c r="GH50" s="30">
        <f t="shared" si="25"/>
        <v>133.26862700941064</v>
      </c>
      <c r="GI50" s="30">
        <f t="shared" si="0"/>
        <v>-136.38259395012062</v>
      </c>
      <c r="GJ50" s="34">
        <f t="shared" si="26"/>
        <v>190.68492042512668</v>
      </c>
      <c r="GK50" s="34">
        <f t="shared" si="27"/>
        <v>297.35866881619467</v>
      </c>
      <c r="GL50" s="34">
        <f t="shared" si="28"/>
        <v>-3211.1242561209328</v>
      </c>
      <c r="GM50" s="34">
        <f t="shared" si="29"/>
        <v>3224.8629685877122</v>
      </c>
      <c r="GN50" s="55">
        <f t="shared" si="1"/>
        <v>605.28266236761067</v>
      </c>
      <c r="GO50" s="55">
        <f t="shared" si="2"/>
        <v>56.05078856605185</v>
      </c>
      <c r="GP50" s="34">
        <f t="shared" si="30"/>
        <v>607.87234865693574</v>
      </c>
      <c r="GQ50" s="55">
        <f t="shared" si="31"/>
        <v>594.71733763238922</v>
      </c>
      <c r="GR50" s="55">
        <f t="shared" si="32"/>
        <v>-56.050788566051821</v>
      </c>
      <c r="GS50" s="34">
        <f t="shared" si="33"/>
        <v>597.35282922192096</v>
      </c>
      <c r="GT50" s="56">
        <f t="shared" si="34"/>
        <v>1066.7962182120286</v>
      </c>
      <c r="GU50" s="56">
        <f t="shared" si="35"/>
        <v>106.0933446791869</v>
      </c>
      <c r="GV50" s="34">
        <f t="shared" si="36"/>
        <v>1072.0587525768833</v>
      </c>
      <c r="GW50" s="30">
        <f t="shared" si="37"/>
        <v>133.20383547160935</v>
      </c>
      <c r="GX50" s="30">
        <f t="shared" si="3"/>
        <v>-106.09333104476259</v>
      </c>
      <c r="GY50" s="34">
        <f t="shared" si="38"/>
        <v>170.29109394363866</v>
      </c>
      <c r="GZ50" s="34">
        <f t="shared" si="4"/>
        <v>600.00005368363804</v>
      </c>
      <c r="HA50" s="34">
        <f t="shared" si="5"/>
        <v>1.3634424263386791E-5</v>
      </c>
      <c r="HB50" s="34">
        <f t="shared" si="39"/>
        <v>600.00005368363816</v>
      </c>
      <c r="HC50" s="33">
        <f t="shared" si="6"/>
        <v>0.22200636857105138</v>
      </c>
      <c r="HD50" s="33">
        <f t="shared" si="7"/>
        <v>-0.17682220763205372</v>
      </c>
      <c r="HE50" s="33">
        <f t="shared" si="40"/>
        <v>0.2838184645120515</v>
      </c>
      <c r="HF50" s="33">
        <f t="shared" si="41"/>
        <v>0.11384703911522148</v>
      </c>
      <c r="HG50" s="33">
        <f t="shared" si="8"/>
        <v>-0.11077255029910628</v>
      </c>
      <c r="HH50" s="33">
        <f t="shared" si="42"/>
        <v>0.15884491246203261</v>
      </c>
      <c r="HI50" s="30">
        <f t="shared" si="56"/>
        <v>0.10249653200699577</v>
      </c>
      <c r="HJ50" s="30">
        <f t="shared" si="43"/>
        <v>-0.12043262085825455</v>
      </c>
      <c r="HK50" s="33">
        <f t="shared" si="44"/>
        <v>0.15814409644450594</v>
      </c>
      <c r="HL50" s="61">
        <f t="shared" si="45"/>
        <v>8.9777074158444811E-2</v>
      </c>
      <c r="HM50" s="61">
        <f t="shared" si="46"/>
        <v>-0.12769513009732367</v>
      </c>
      <c r="HN50" s="33">
        <f t="shared" si="47"/>
        <v>0.1560960258783782</v>
      </c>
      <c r="HO50" s="30">
        <f t="shared" si="48"/>
        <v>-15.98053380685924</v>
      </c>
      <c r="HP50" s="30">
        <f t="shared" si="49"/>
        <v>0.15163019863135041</v>
      </c>
      <c r="HQ50" s="29">
        <v>400</v>
      </c>
      <c r="HR50" s="30">
        <v>2513.2741228718346</v>
      </c>
      <c r="HS50" s="30">
        <f t="shared" si="50"/>
        <v>-16.132164005490591</v>
      </c>
      <c r="HT50" s="30">
        <f t="shared" si="51"/>
        <v>-16.132163074057392</v>
      </c>
      <c r="HU50" s="30">
        <f t="shared" si="52"/>
        <v>9.3143319901400901E-7</v>
      </c>
      <c r="HV50" s="30">
        <f t="shared" si="53"/>
        <v>3.7804738495670343</v>
      </c>
      <c r="HW50" s="30">
        <f t="shared" si="9"/>
        <v>3.7804733603538239</v>
      </c>
      <c r="HX50" s="73">
        <f t="shared" si="10"/>
        <v>5.3683638157053792E-5</v>
      </c>
      <c r="HY50" s="30">
        <f t="shared" si="54"/>
        <v>3.9321031167651856</v>
      </c>
      <c r="HZ50" s="74">
        <f t="shared" si="55"/>
        <v>4.8921321038619681E-7</v>
      </c>
    </row>
    <row r="51" spans="7:234" ht="15" customHeight="1" thickBot="1">
      <c r="AW51" s="104"/>
      <c r="AX51" s="104"/>
      <c r="AY51" s="104"/>
      <c r="AZ51" s="104"/>
      <c r="BA51" s="104"/>
      <c r="BB51" s="104"/>
      <c r="BC51" s="104"/>
      <c r="BD51" s="104"/>
      <c r="BE51" s="104"/>
      <c r="BF51" s="104"/>
      <c r="BG51" s="104"/>
      <c r="BH51" s="104"/>
      <c r="BI51" s="104"/>
      <c r="BJ51" s="104"/>
      <c r="BK51" s="104"/>
      <c r="BL51" s="104"/>
      <c r="BM51" s="104"/>
      <c r="BN51" s="104"/>
      <c r="BO51" s="104"/>
      <c r="BP51" s="159"/>
      <c r="BQ51" s="155"/>
      <c r="BR51" s="155"/>
      <c r="BS51" s="155"/>
      <c r="BT51" s="156"/>
      <c r="BU51" s="109"/>
      <c r="BV51" s="159"/>
      <c r="BW51" s="155"/>
      <c r="BX51" s="155"/>
      <c r="BY51" s="155"/>
      <c r="BZ51" s="155"/>
      <c r="CA51" s="156"/>
      <c r="CB51" s="108"/>
      <c r="CC51" s="108"/>
      <c r="CD51" s="108"/>
      <c r="CE51" s="108"/>
      <c r="CF51" s="108"/>
      <c r="FO51" s="43" t="s">
        <v>204</v>
      </c>
      <c r="FP51" s="30">
        <f>DN34</f>
        <v>3.3309729929631954E-3</v>
      </c>
      <c r="FQ51" s="45" t="s">
        <v>212</v>
      </c>
      <c r="FR51" s="30">
        <f>DS34</f>
        <v>1.4137088456951938</v>
      </c>
      <c r="FT51" s="29">
        <v>500</v>
      </c>
      <c r="FU51" s="27">
        <f t="shared" si="12"/>
        <v>3141.5926535897929</v>
      </c>
      <c r="FV51" s="30">
        <f t="shared" si="13"/>
        <v>475.1990553861076</v>
      </c>
      <c r="FW51" s="30">
        <f t="shared" si="14"/>
        <v>86.402511772539782</v>
      </c>
      <c r="FX51" s="34">
        <f t="shared" si="15"/>
        <v>482.99020308951697</v>
      </c>
      <c r="FY51" s="30">
        <f t="shared" si="16"/>
        <v>7.8550177614916672</v>
      </c>
      <c r="FZ51" s="30">
        <f t="shared" si="17"/>
        <v>-43.201255886269891</v>
      </c>
      <c r="GA51" s="34">
        <f t="shared" si="18"/>
        <v>43.909564040016591</v>
      </c>
      <c r="GB51" s="34">
        <f t="shared" si="19"/>
        <v>8.2134827093768568</v>
      </c>
      <c r="GC51" s="34">
        <f t="shared" si="20"/>
        <v>69.718206570514141</v>
      </c>
      <c r="GD51" s="34">
        <f t="shared" si="21"/>
        <v>70.200353457985628</v>
      </c>
      <c r="GE51" s="55">
        <f t="shared" si="22"/>
        <v>295.89325864531156</v>
      </c>
      <c r="GF51" s="55">
        <f t="shared" si="23"/>
        <v>-34.859103285257071</v>
      </c>
      <c r="GG51" s="34">
        <f t="shared" si="24"/>
        <v>297.93955359031042</v>
      </c>
      <c r="GH51" s="30">
        <f t="shared" si="25"/>
        <v>129.0671834208182</v>
      </c>
      <c r="GI51" s="30">
        <f t="shared" si="0"/>
        <v>-109.86999317470831</v>
      </c>
      <c r="GJ51" s="34">
        <f t="shared" si="26"/>
        <v>169.49853461429564</v>
      </c>
      <c r="GK51" s="34">
        <f t="shared" si="27"/>
        <v>295.89325864531156</v>
      </c>
      <c r="GL51" s="34">
        <f t="shared" si="28"/>
        <v>-2581.3381927555824</v>
      </c>
      <c r="GM51" s="34">
        <f t="shared" si="29"/>
        <v>2598.2416527125415</v>
      </c>
      <c r="GN51" s="55">
        <f t="shared" si="1"/>
        <v>608.21348270937688</v>
      </c>
      <c r="GO51" s="55">
        <f t="shared" si="2"/>
        <v>69.718206570514141</v>
      </c>
      <c r="GP51" s="34">
        <f t="shared" si="30"/>
        <v>612.19626663095426</v>
      </c>
      <c r="GQ51" s="55">
        <f t="shared" si="31"/>
        <v>591.78651729062312</v>
      </c>
      <c r="GR51" s="55">
        <f t="shared" si="32"/>
        <v>-69.718206570514184</v>
      </c>
      <c r="GS51" s="34">
        <f t="shared" si="33"/>
        <v>595.87910718062085</v>
      </c>
      <c r="GT51" s="56">
        <f t="shared" si="34"/>
        <v>1075.1990553861076</v>
      </c>
      <c r="GU51" s="56">
        <f t="shared" si="35"/>
        <v>86.402511772539725</v>
      </c>
      <c r="GV51" s="34">
        <f t="shared" si="36"/>
        <v>1078.6651022183771</v>
      </c>
      <c r="GW51" s="30">
        <f t="shared" si="37"/>
        <v>124.80097955374312</v>
      </c>
      <c r="GX51" s="30">
        <f t="shared" si="3"/>
        <v>-86.402504713736235</v>
      </c>
      <c r="GY51" s="34">
        <f t="shared" si="38"/>
        <v>151.79155878500299</v>
      </c>
      <c r="GZ51" s="34">
        <f t="shared" si="4"/>
        <v>600.00003493985071</v>
      </c>
      <c r="HA51" s="34">
        <f t="shared" si="5"/>
        <v>7.0588035470109389E-6</v>
      </c>
      <c r="HB51" s="34">
        <f t="shared" si="39"/>
        <v>600.00003493985071</v>
      </c>
      <c r="HC51" s="33">
        <f t="shared" si="6"/>
        <v>0.20800161878283413</v>
      </c>
      <c r="HD51" s="33">
        <f t="shared" si="7"/>
        <v>-0.14400416858415777</v>
      </c>
      <c r="HE51" s="33">
        <f t="shared" si="40"/>
        <v>0.25298591657618807</v>
      </c>
      <c r="HF51" s="33">
        <f t="shared" si="41"/>
        <v>0.10891146457055506</v>
      </c>
      <c r="HG51" s="33">
        <f t="shared" si="8"/>
        <v>-8.9111615909865105E-2</v>
      </c>
      <c r="HH51" s="33">
        <f t="shared" si="42"/>
        <v>0.14072166572696115</v>
      </c>
      <c r="HI51" s="30">
        <f t="shared" si="56"/>
        <v>9.7066057108989301E-2</v>
      </c>
      <c r="HJ51" s="30">
        <f t="shared" si="43"/>
        <v>-0.10054694135710991</v>
      </c>
      <c r="HK51" s="33">
        <f t="shared" si="44"/>
        <v>0.13975516755725231</v>
      </c>
      <c r="HL51" s="61">
        <f t="shared" si="45"/>
        <v>8.3291007451514201E-2</v>
      </c>
      <c r="HM51" s="61">
        <f t="shared" si="46"/>
        <v>-0.10873659719384783</v>
      </c>
      <c r="HN51" s="33">
        <f t="shared" si="47"/>
        <v>0.1369709439683662</v>
      </c>
      <c r="HO51" s="30">
        <f t="shared" si="48"/>
        <v>-17.032780655243567</v>
      </c>
      <c r="HP51" s="30">
        <f t="shared" si="49"/>
        <v>0.23465127653225792</v>
      </c>
      <c r="HQ51" s="29">
        <v>500</v>
      </c>
      <c r="HR51" s="30">
        <v>3141.5926535897929</v>
      </c>
      <c r="HS51" s="30">
        <f t="shared" si="50"/>
        <v>-17.267431931775825</v>
      </c>
      <c r="HT51" s="30">
        <f t="shared" si="51"/>
        <v>-17.267431023667278</v>
      </c>
      <c r="HU51" s="30">
        <f t="shared" si="52"/>
        <v>9.08108546582298E-7</v>
      </c>
      <c r="HV51" s="30">
        <f t="shared" si="53"/>
        <v>2.6452058999571477</v>
      </c>
      <c r="HW51" s="30">
        <f t="shared" si="9"/>
        <v>2.6452054340685898</v>
      </c>
      <c r="HX51" s="73">
        <f t="shared" si="10"/>
        <v>3.4939850706905418E-5</v>
      </c>
      <c r="HY51" s="30">
        <f t="shared" si="54"/>
        <v>2.8798562683808591</v>
      </c>
      <c r="HZ51" s="74">
        <f t="shared" si="55"/>
        <v>4.658885579544858E-7</v>
      </c>
    </row>
    <row r="52" spans="7:234" ht="15" customHeight="1">
      <c r="G52" s="30" t="s">
        <v>237</v>
      </c>
      <c r="FO52" s="43" t="s">
        <v>205</v>
      </c>
      <c r="FP52" s="30">
        <f>CQ36</f>
        <v>299.99833451350349</v>
      </c>
      <c r="FQ52" s="45" t="s">
        <v>212</v>
      </c>
      <c r="FR52" s="30">
        <f>CV36</f>
        <v>-0.70685442284759692</v>
      </c>
      <c r="FT52" s="29">
        <v>600</v>
      </c>
      <c r="FU52" s="27">
        <f t="shared" si="12"/>
        <v>3769.9111843077517</v>
      </c>
      <c r="FV52" s="30">
        <f t="shared" si="13"/>
        <v>479.89161107082793</v>
      </c>
      <c r="FW52" s="30">
        <f t="shared" si="14"/>
        <v>72.713108512319792</v>
      </c>
      <c r="FX52" s="34">
        <f t="shared" si="15"/>
        <v>485.36909102834227</v>
      </c>
      <c r="FY52" s="30">
        <f t="shared" si="16"/>
        <v>5.5087399191314983</v>
      </c>
      <c r="FZ52" s="30">
        <f t="shared" si="17"/>
        <v>-36.356554256159896</v>
      </c>
      <c r="GA52" s="34">
        <f t="shared" si="18"/>
        <v>36.771527747398956</v>
      </c>
      <c r="GB52" s="34">
        <f t="shared" si="19"/>
        <v>11.756602490566003</v>
      </c>
      <c r="GC52" s="34">
        <f t="shared" si="20"/>
        <v>83.160951126225214</v>
      </c>
      <c r="GD52" s="34">
        <f t="shared" si="21"/>
        <v>83.987865161221961</v>
      </c>
      <c r="GE52" s="55">
        <f t="shared" si="22"/>
        <v>294.12169875471699</v>
      </c>
      <c r="GF52" s="55">
        <f t="shared" si="23"/>
        <v>-41.580475563112607</v>
      </c>
      <c r="GG52" s="34">
        <f t="shared" si="24"/>
        <v>297.04630889209028</v>
      </c>
      <c r="GH52" s="30">
        <f t="shared" si="25"/>
        <v>126.72089199736752</v>
      </c>
      <c r="GI52" s="30">
        <f t="shared" si="0"/>
        <v>-91.913835329866131</v>
      </c>
      <c r="GJ52" s="34">
        <f t="shared" si="26"/>
        <v>156.5450018162644</v>
      </c>
      <c r="GK52" s="34">
        <f t="shared" si="27"/>
        <v>294.12169875471699</v>
      </c>
      <c r="GL52" s="34">
        <f t="shared" si="28"/>
        <v>-2163.6463834550505</v>
      </c>
      <c r="GM52" s="34">
        <f t="shared" si="29"/>
        <v>2183.5460256922638</v>
      </c>
      <c r="GN52" s="55">
        <f t="shared" si="1"/>
        <v>611.75660249056602</v>
      </c>
      <c r="GO52" s="55">
        <f t="shared" si="2"/>
        <v>83.160951126225214</v>
      </c>
      <c r="GP52" s="34">
        <f t="shared" si="30"/>
        <v>617.38309377810049</v>
      </c>
      <c r="GQ52" s="55">
        <f t="shared" si="31"/>
        <v>588.24339750943398</v>
      </c>
      <c r="GR52" s="55">
        <f t="shared" si="32"/>
        <v>-83.160951126225271</v>
      </c>
      <c r="GS52" s="34">
        <f t="shared" si="33"/>
        <v>594.09261778418056</v>
      </c>
      <c r="GT52" s="56">
        <f t="shared" si="34"/>
        <v>1079.8916110708278</v>
      </c>
      <c r="GU52" s="56">
        <f t="shared" si="35"/>
        <v>72.713108512319749</v>
      </c>
      <c r="GV52" s="34">
        <f t="shared" si="36"/>
        <v>1082.3368642944174</v>
      </c>
      <c r="GW52" s="30">
        <f t="shared" si="37"/>
        <v>120.10841341579533</v>
      </c>
      <c r="GX52" s="30">
        <f t="shared" si="3"/>
        <v>-72.713104402533347</v>
      </c>
      <c r="GY52" s="34">
        <f t="shared" si="38"/>
        <v>140.40379811498448</v>
      </c>
      <c r="GZ52" s="34">
        <f t="shared" si="4"/>
        <v>600.00002448662326</v>
      </c>
      <c r="HA52" s="34">
        <f t="shared" si="5"/>
        <v>4.1097864453831789E-6</v>
      </c>
      <c r="HB52" s="34">
        <f t="shared" si="39"/>
        <v>600.00002448662326</v>
      </c>
      <c r="HC52" s="33">
        <f t="shared" si="6"/>
        <v>0.20018068002664591</v>
      </c>
      <c r="HD52" s="33">
        <f t="shared" si="7"/>
        <v>-0.12118850376289327</v>
      </c>
      <c r="HE52" s="33">
        <f t="shared" si="40"/>
        <v>0.23400632064159974</v>
      </c>
      <c r="HF52" s="33">
        <f t="shared" si="41"/>
        <v>0.1062072974457095</v>
      </c>
      <c r="HG52" s="33">
        <f t="shared" si="8"/>
        <v>-7.4485035513837741E-2</v>
      </c>
      <c r="HH52" s="33">
        <f t="shared" si="42"/>
        <v>0.12972282199450905</v>
      </c>
      <c r="HI52" s="30">
        <f t="shared" si="56"/>
        <v>9.3802491819596268E-2</v>
      </c>
      <c r="HJ52" s="30">
        <f t="shared" si="43"/>
        <v>-8.7746050377336446E-2</v>
      </c>
      <c r="HK52" s="33">
        <f t="shared" si="44"/>
        <v>0.12844561817511521</v>
      </c>
      <c r="HL52" s="61">
        <f t="shared" si="45"/>
        <v>7.8844056658536846E-2</v>
      </c>
      <c r="HM52" s="61">
        <f t="shared" si="46"/>
        <v>-9.6777667339828635E-2</v>
      </c>
      <c r="HN52" s="33">
        <f t="shared" si="47"/>
        <v>0.1248290918260367</v>
      </c>
      <c r="HO52" s="30">
        <f t="shared" si="48"/>
        <v>-17.739672244798975</v>
      </c>
      <c r="HP52" s="30">
        <f t="shared" si="49"/>
        <v>0.33401234722264661</v>
      </c>
      <c r="HQ52" s="29">
        <v>600</v>
      </c>
      <c r="HR52" s="30">
        <v>3769.9111843077517</v>
      </c>
      <c r="HS52" s="30">
        <f t="shared" si="50"/>
        <v>-18.073684592021621</v>
      </c>
      <c r="HT52" s="30">
        <f t="shared" si="51"/>
        <v>-18.073683782309789</v>
      </c>
      <c r="HU52" s="30">
        <f t="shared" si="52"/>
        <v>8.0971183180622575E-7</v>
      </c>
      <c r="HV52" s="30">
        <f t="shared" si="53"/>
        <v>1.8389531413146365</v>
      </c>
      <c r="HW52" s="30">
        <f t="shared" si="9"/>
        <v>1.8389527738227933</v>
      </c>
      <c r="HX52" s="73">
        <f t="shared" si="10"/>
        <v>2.4486623260600027E-5</v>
      </c>
      <c r="HY52" s="30">
        <f t="shared" si="54"/>
        <v>2.1729646788254513</v>
      </c>
      <c r="HZ52" s="74">
        <f t="shared" si="55"/>
        <v>3.6749184317841355E-7</v>
      </c>
    </row>
    <row r="53" spans="7:234" ht="15" customHeight="1">
      <c r="G53" s="30" t="s">
        <v>238</v>
      </c>
      <c r="FO53" s="43" t="s">
        <v>206</v>
      </c>
      <c r="FP53" s="30">
        <f>CK38</f>
        <v>363.84347213994306</v>
      </c>
      <c r="FQ53" s="45" t="s">
        <v>212</v>
      </c>
      <c r="FR53" s="30">
        <f>CP38</f>
        <v>-3360.1132577890253</v>
      </c>
      <c r="FT53" s="29">
        <v>700</v>
      </c>
      <c r="FU53" s="27">
        <f t="shared" si="12"/>
        <v>4398.22971502571</v>
      </c>
      <c r="FV53" s="30">
        <f t="shared" si="13"/>
        <v>482.76613054821757</v>
      </c>
      <c r="FW53" s="30">
        <f t="shared" si="14"/>
        <v>62.698847394719593</v>
      </c>
      <c r="FX53" s="34">
        <f t="shared" si="15"/>
        <v>486.82058529721706</v>
      </c>
      <c r="FY53" s="30">
        <f t="shared" si="16"/>
        <v>4.0714801804366658</v>
      </c>
      <c r="FZ53" s="30">
        <f t="shared" si="17"/>
        <v>-31.349423697359796</v>
      </c>
      <c r="GA53" s="34">
        <f t="shared" si="18"/>
        <v>31.612708156946514</v>
      </c>
      <c r="GB53" s="34">
        <f t="shared" si="19"/>
        <v>15.889611629770899</v>
      </c>
      <c r="GC53" s="34">
        <f t="shared" si="20"/>
        <v>96.339437511943089</v>
      </c>
      <c r="GD53" s="34">
        <f t="shared" si="21"/>
        <v>97.64101073761239</v>
      </c>
      <c r="GE53" s="55">
        <f t="shared" si="22"/>
        <v>292.05519418511454</v>
      </c>
      <c r="GF53" s="55">
        <f t="shared" si="23"/>
        <v>-48.169718755971545</v>
      </c>
      <c r="GG53" s="34">
        <f t="shared" si="24"/>
        <v>296.00094299771132</v>
      </c>
      <c r="GH53" s="30">
        <f t="shared" si="25"/>
        <v>125.28362406970345</v>
      </c>
      <c r="GI53" s="30">
        <f t="shared" si="0"/>
        <v>-78.969950331969031</v>
      </c>
      <c r="GJ53" s="34">
        <f t="shared" si="26"/>
        <v>148.09537303870243</v>
      </c>
      <c r="GK53" s="34">
        <f t="shared" si="27"/>
        <v>292.05519418511454</v>
      </c>
      <c r="GL53" s="34">
        <f t="shared" si="28"/>
        <v>-1867.0833540919186</v>
      </c>
      <c r="GM53" s="34">
        <f t="shared" si="29"/>
        <v>1889.7874186208442</v>
      </c>
      <c r="GN53" s="55">
        <f t="shared" si="1"/>
        <v>615.88961162977091</v>
      </c>
      <c r="GO53" s="55">
        <f t="shared" si="2"/>
        <v>96.339437511943089</v>
      </c>
      <c r="GP53" s="34">
        <f t="shared" si="30"/>
        <v>623.37893847449448</v>
      </c>
      <c r="GQ53" s="55">
        <f t="shared" si="31"/>
        <v>584.1103883702292</v>
      </c>
      <c r="GR53" s="55">
        <f t="shared" si="32"/>
        <v>-96.33943751194316</v>
      </c>
      <c r="GS53" s="34">
        <f t="shared" si="33"/>
        <v>592.00188599542275</v>
      </c>
      <c r="GT53" s="56">
        <f t="shared" si="34"/>
        <v>1082.7661305482177</v>
      </c>
      <c r="GU53" s="56">
        <f t="shared" si="35"/>
        <v>62.698847394719522</v>
      </c>
      <c r="GV53" s="34">
        <f t="shared" si="36"/>
        <v>1084.5799366238462</v>
      </c>
      <c r="GW53" s="30">
        <f t="shared" si="37"/>
        <v>117.23388754147506</v>
      </c>
      <c r="GX53" s="30">
        <f t="shared" si="3"/>
        <v>-62.698844797134988</v>
      </c>
      <c r="GY53" s="34">
        <f t="shared" si="38"/>
        <v>132.94709296175844</v>
      </c>
      <c r="GZ53" s="34">
        <f t="shared" si="4"/>
        <v>600.00001808969262</v>
      </c>
      <c r="HA53" s="34">
        <f t="shared" si="5"/>
        <v>2.5975846043024831E-6</v>
      </c>
      <c r="HB53" s="34">
        <f t="shared" si="39"/>
        <v>600.00001808969262</v>
      </c>
      <c r="HC53" s="33">
        <f t="shared" si="6"/>
        <v>0.19538980622581822</v>
      </c>
      <c r="HD53" s="33">
        <f t="shared" si="7"/>
        <v>-0.10449807235723088</v>
      </c>
      <c r="HE53" s="33">
        <f t="shared" si="40"/>
        <v>0.22157848158911969</v>
      </c>
      <c r="HF53" s="33">
        <f t="shared" si="41"/>
        <v>0.10456882363326156</v>
      </c>
      <c r="HG53" s="33">
        <f t="shared" si="8"/>
        <v>-6.3961354327273803E-2</v>
      </c>
      <c r="HH53" s="33">
        <f t="shared" si="42"/>
        <v>0.1225793364455169</v>
      </c>
      <c r="HI53" s="30">
        <f t="shared" si="56"/>
        <v>9.1529558809084602E-2</v>
      </c>
      <c r="HJ53" s="30">
        <f t="shared" si="43"/>
        <v>-7.9057655278172892E-2</v>
      </c>
      <c r="HK53" s="33">
        <f t="shared" si="44"/>
        <v>0.12094533059968911</v>
      </c>
      <c r="HL53" s="61">
        <f t="shared" si="45"/>
        <v>7.5278802623553021E-2</v>
      </c>
      <c r="HM53" s="61">
        <f t="shared" si="46"/>
        <v>-8.8793364323058774E-2</v>
      </c>
      <c r="HN53" s="33">
        <f t="shared" si="47"/>
        <v>0.11640944838046137</v>
      </c>
      <c r="HO53" s="30">
        <f t="shared" si="48"/>
        <v>-18.231654678576927</v>
      </c>
      <c r="HP53" s="30">
        <f t="shared" si="49"/>
        <v>0.44858139600008684</v>
      </c>
      <c r="HQ53" s="29">
        <v>700</v>
      </c>
      <c r="HR53" s="30">
        <v>4398.22971502571</v>
      </c>
      <c r="HS53" s="30">
        <f t="shared" si="50"/>
        <v>-18.680236074577014</v>
      </c>
      <c r="HT53" s="30">
        <f t="shared" si="51"/>
        <v>-18.680235374312424</v>
      </c>
      <c r="HU53" s="30">
        <f t="shared" si="52"/>
        <v>7.0026458942606951E-7</v>
      </c>
      <c r="HV53" s="30">
        <f t="shared" si="53"/>
        <v>1.2324015493120015</v>
      </c>
      <c r="HW53" s="30">
        <f t="shared" si="9"/>
        <v>1.2324012912674007</v>
      </c>
      <c r="HX53" s="73">
        <f t="shared" si="10"/>
        <v>1.8089692616740649E-5</v>
      </c>
      <c r="HY53" s="30">
        <f t="shared" si="54"/>
        <v>1.6809822450474989</v>
      </c>
      <c r="HZ53" s="74">
        <f t="shared" si="55"/>
        <v>2.5804460079825731E-7</v>
      </c>
    </row>
    <row r="54" spans="7:234" ht="15" customHeight="1">
      <c r="AW54" s="104" t="s">
        <v>127</v>
      </c>
      <c r="AX54" s="104"/>
      <c r="AY54" s="104" t="s">
        <v>33</v>
      </c>
      <c r="AZ54" s="23" t="s">
        <v>128</v>
      </c>
      <c r="BA54" s="23"/>
      <c r="BB54" s="23"/>
      <c r="BC54" s="23"/>
      <c r="BD54" s="23"/>
      <c r="BE54" s="22"/>
      <c r="BF54" s="22"/>
      <c r="BG54" s="22"/>
      <c r="BH54" s="22"/>
      <c r="BI54" s="22"/>
      <c r="BJ54" s="22"/>
      <c r="BK54" s="22"/>
      <c r="BL54" s="22"/>
      <c r="BM54" s="22"/>
      <c r="BN54" s="22"/>
      <c r="BO54" s="22"/>
      <c r="BP54" s="22"/>
      <c r="BQ54" s="22"/>
      <c r="BR54" s="22"/>
      <c r="BS54" s="109" t="s">
        <v>115</v>
      </c>
      <c r="BT54" s="22" t="s">
        <v>129</v>
      </c>
      <c r="BU54" s="22"/>
      <c r="BV54" s="22"/>
      <c r="BW54" s="22"/>
      <c r="BX54" s="22"/>
      <c r="BY54" s="22"/>
      <c r="BZ54" s="22"/>
      <c r="CA54" s="22"/>
      <c r="CB54" s="22"/>
      <c r="CC54" s="22"/>
      <c r="CD54" s="22"/>
      <c r="CE54" s="22"/>
      <c r="CF54" s="22"/>
      <c r="CG54" s="22"/>
      <c r="CH54" s="22"/>
      <c r="CI54" s="22"/>
      <c r="CJ54" s="22"/>
      <c r="CK54" s="22"/>
      <c r="FO54" s="43" t="s">
        <v>207</v>
      </c>
      <c r="FP54" s="30">
        <f>CA40</f>
        <v>299.99833451350349</v>
      </c>
      <c r="FQ54" s="45" t="s">
        <v>212</v>
      </c>
      <c r="FR54" s="30">
        <f>CF40</f>
        <v>-127324.66132793915</v>
      </c>
      <c r="FT54" s="29">
        <v>800</v>
      </c>
      <c r="FU54" s="27">
        <f t="shared" si="12"/>
        <v>5026.5482457436692</v>
      </c>
      <c r="FV54" s="30">
        <f t="shared" si="13"/>
        <v>484.65030461126804</v>
      </c>
      <c r="FW54" s="30">
        <f t="shared" si="14"/>
        <v>55.075608809496551</v>
      </c>
      <c r="FX54" s="34">
        <f t="shared" si="15"/>
        <v>487.76965920968433</v>
      </c>
      <c r="FY54" s="30">
        <f t="shared" si="16"/>
        <v>3.1293931489114448</v>
      </c>
      <c r="FZ54" s="30">
        <f t="shared" si="17"/>
        <v>-27.537804404748275</v>
      </c>
      <c r="GA54" s="34">
        <f t="shared" si="18"/>
        <v>27.71504596630912</v>
      </c>
      <c r="GB54" s="34">
        <f t="shared" si="19"/>
        <v>20.586881743186868</v>
      </c>
      <c r="GC54" s="34">
        <f t="shared" si="20"/>
        <v>109.21679974254951</v>
      </c>
      <c r="GD54" s="34">
        <f t="shared" si="21"/>
        <v>111.14013247208285</v>
      </c>
      <c r="GE54" s="55">
        <f t="shared" si="22"/>
        <v>289.70655912840658</v>
      </c>
      <c r="GF54" s="55">
        <f t="shared" si="23"/>
        <v>-54.608399871274756</v>
      </c>
      <c r="GG54" s="34">
        <f t="shared" si="24"/>
        <v>294.80835764700089</v>
      </c>
      <c r="GH54" s="30">
        <f t="shared" si="25"/>
        <v>124.34153172322225</v>
      </c>
      <c r="GI54" s="30">
        <f t="shared" si="0"/>
        <v>-69.205765210033576</v>
      </c>
      <c r="GJ54" s="34">
        <f t="shared" si="26"/>
        <v>142.30338874947208</v>
      </c>
      <c r="GK54" s="34">
        <f t="shared" si="27"/>
        <v>289.70655912840658</v>
      </c>
      <c r="GL54" s="34">
        <f t="shared" si="28"/>
        <v>-1646.1578307902282</v>
      </c>
      <c r="GM54" s="34">
        <f t="shared" si="29"/>
        <v>1671.456100014</v>
      </c>
      <c r="GN54" s="55">
        <f t="shared" si="1"/>
        <v>620.58688174318684</v>
      </c>
      <c r="GO54" s="55">
        <f t="shared" si="2"/>
        <v>109.21679974254951</v>
      </c>
      <c r="GP54" s="34">
        <f t="shared" si="30"/>
        <v>630.12410455221936</v>
      </c>
      <c r="GQ54" s="55">
        <f t="shared" si="31"/>
        <v>579.41311825681305</v>
      </c>
      <c r="GR54" s="55">
        <f t="shared" si="32"/>
        <v>-109.21679974254943</v>
      </c>
      <c r="GS54" s="34">
        <f t="shared" si="33"/>
        <v>589.61671529400166</v>
      </c>
      <c r="GT54" s="56">
        <f t="shared" si="34"/>
        <v>1084.650304611268</v>
      </c>
      <c r="GU54" s="56">
        <f t="shared" si="35"/>
        <v>55.075608809496629</v>
      </c>
      <c r="GV54" s="34">
        <f t="shared" si="36"/>
        <v>1086.047699679463</v>
      </c>
      <c r="GW54" s="30">
        <f t="shared" si="37"/>
        <v>115.34970928835649</v>
      </c>
      <c r="GX54" s="30">
        <f t="shared" si="3"/>
        <v>-55.075607065169478</v>
      </c>
      <c r="GY54" s="34">
        <f t="shared" si="38"/>
        <v>127.82362037786797</v>
      </c>
      <c r="GZ54" s="34">
        <f t="shared" si="4"/>
        <v>600.00001389962449</v>
      </c>
      <c r="HA54" s="34">
        <f t="shared" si="5"/>
        <v>1.7443270721173576E-6</v>
      </c>
      <c r="HB54" s="34">
        <f t="shared" si="39"/>
        <v>600.00001389962449</v>
      </c>
      <c r="HC54" s="33">
        <f t="shared" si="6"/>
        <v>0.19224951076007341</v>
      </c>
      <c r="HD54" s="33">
        <f t="shared" si="7"/>
        <v>-9.1792676874386275E-2</v>
      </c>
      <c r="HE54" s="33">
        <f t="shared" si="40"/>
        <v>0.21303936236116805</v>
      </c>
      <c r="HF54" s="33">
        <f t="shared" si="41"/>
        <v>0.10350217252100588</v>
      </c>
      <c r="HG54" s="33">
        <f t="shared" si="8"/>
        <v>-5.603285319789171E-2</v>
      </c>
      <c r="HH54" s="33">
        <f t="shared" si="42"/>
        <v>0.1176961356802531</v>
      </c>
      <c r="HI54" s="30">
        <f t="shared" si="56"/>
        <v>8.9751312700054722E-2</v>
      </c>
      <c r="HJ54" s="30">
        <f t="shared" si="43"/>
        <v>-7.2950577075603651E-2</v>
      </c>
      <c r="HK54" s="33">
        <f t="shared" si="44"/>
        <v>0.11565934820431331</v>
      </c>
      <c r="HL54" s="61">
        <f t="shared" si="45"/>
        <v>7.2127375747400968E-2</v>
      </c>
      <c r="HM54" s="61">
        <f t="shared" si="46"/>
        <v>-8.3224233250381183E-2</v>
      </c>
      <c r="HN54" s="33">
        <f t="shared" si="47"/>
        <v>0.11013006552400038</v>
      </c>
      <c r="HO54" s="30">
        <f t="shared" si="48"/>
        <v>-18.584755922450448</v>
      </c>
      <c r="HP54" s="30">
        <f t="shared" si="49"/>
        <v>0.57712672528633391</v>
      </c>
      <c r="HQ54" s="29">
        <v>800</v>
      </c>
      <c r="HR54" s="30">
        <v>5026.5482457436692</v>
      </c>
      <c r="HS54" s="30">
        <f t="shared" si="50"/>
        <v>-19.161882647736782</v>
      </c>
      <c r="HT54" s="30">
        <f t="shared" si="51"/>
        <v>-19.161882047688401</v>
      </c>
      <c r="HU54" s="30">
        <f t="shared" si="52"/>
        <v>6.00048380761109E-7</v>
      </c>
      <c r="HV54" s="30">
        <f t="shared" si="53"/>
        <v>0.75075487593602475</v>
      </c>
      <c r="HW54" s="30">
        <f t="shared" si="9"/>
        <v>0.75075471810763261</v>
      </c>
      <c r="HX54" s="73">
        <f t="shared" si="10"/>
        <v>1.389962449138693E-5</v>
      </c>
      <c r="HY54" s="30">
        <f t="shared" si="54"/>
        <v>1.3278810011739779</v>
      </c>
      <c r="HZ54" s="74">
        <f t="shared" si="55"/>
        <v>1.578283921332968E-7</v>
      </c>
    </row>
    <row r="55" spans="7:234" ht="15" customHeight="1">
      <c r="G55" s="5" t="s">
        <v>239</v>
      </c>
      <c r="O55" s="30" t="s">
        <v>240</v>
      </c>
      <c r="AW55" s="104"/>
      <c r="AX55" s="104"/>
      <c r="AY55" s="104"/>
      <c r="AZ55" s="112" t="s">
        <v>130</v>
      </c>
      <c r="BA55" s="112"/>
      <c r="BB55" s="112"/>
      <c r="BC55" s="112"/>
      <c r="BD55" s="112"/>
      <c r="BE55" s="112"/>
      <c r="BF55" s="112"/>
      <c r="BG55" s="112"/>
      <c r="BH55" s="112"/>
      <c r="BI55" s="112"/>
      <c r="BJ55" s="112"/>
      <c r="BK55" s="112"/>
      <c r="BL55" s="112"/>
      <c r="BM55" s="112"/>
      <c r="BN55" s="112"/>
      <c r="BO55" s="22"/>
      <c r="BP55" s="22"/>
      <c r="BQ55" s="22"/>
      <c r="BR55" s="22"/>
      <c r="BS55" s="109"/>
      <c r="BT55" s="112" t="s">
        <v>130</v>
      </c>
      <c r="BU55" s="112"/>
      <c r="BV55" s="112"/>
      <c r="BW55" s="112"/>
      <c r="BX55" s="112"/>
      <c r="BY55" s="112"/>
      <c r="BZ55" s="112"/>
      <c r="CA55" s="112"/>
      <c r="CB55" s="112"/>
      <c r="CC55" s="112"/>
      <c r="CD55" s="112"/>
      <c r="CE55" s="112"/>
      <c r="CF55" s="112"/>
      <c r="CG55" s="112"/>
      <c r="CH55" s="112"/>
      <c r="CI55" s="22"/>
      <c r="CJ55" s="22"/>
      <c r="CK55" s="22"/>
      <c r="FO55" s="43" t="s">
        <v>208</v>
      </c>
      <c r="FP55" s="30">
        <f>BC42</f>
        <v>600.00333097299301</v>
      </c>
      <c r="FQ55" s="45" t="s">
        <v>212</v>
      </c>
      <c r="FR55" s="30">
        <f>BH42</f>
        <v>1.4137088456951938</v>
      </c>
      <c r="FT55" s="29">
        <v>900</v>
      </c>
      <c r="FU55" s="27">
        <f t="shared" si="12"/>
        <v>5654.8667764616275</v>
      </c>
      <c r="FV55" s="30">
        <f t="shared" si="13"/>
        <v>485.95060916001864</v>
      </c>
      <c r="FW55" s="30">
        <f t="shared" si="14"/>
        <v>49.087444692818622</v>
      </c>
      <c r="FX55" s="34">
        <f t="shared" si="15"/>
        <v>488.42355775439796</v>
      </c>
      <c r="FY55" s="30">
        <f t="shared" si="16"/>
        <v>2.4792408745361594</v>
      </c>
      <c r="FZ55" s="30">
        <f t="shared" si="17"/>
        <v>-24.543722346409311</v>
      </c>
      <c r="GA55" s="34">
        <f t="shared" si="18"/>
        <v>24.668622619262766</v>
      </c>
      <c r="GB55" s="34">
        <f t="shared" si="19"/>
        <v>25.819949596009483</v>
      </c>
      <c r="GC55" s="34">
        <f t="shared" si="20"/>
        <v>121.75918840262209</v>
      </c>
      <c r="GD55" s="34">
        <f t="shared" si="21"/>
        <v>124.46674157221958</v>
      </c>
      <c r="GE55" s="55">
        <f t="shared" si="22"/>
        <v>287.09002520199527</v>
      </c>
      <c r="GF55" s="55">
        <f t="shared" si="23"/>
        <v>-60.879594201311043</v>
      </c>
      <c r="GG55" s="34">
        <f t="shared" si="24"/>
        <v>293.4740321742259</v>
      </c>
      <c r="GH55" s="30">
        <f t="shared" si="25"/>
        <v>123.69137580493063</v>
      </c>
      <c r="GI55" s="30">
        <f t="shared" si="0"/>
        <v>-61.581909728886487</v>
      </c>
      <c r="GJ55" s="34">
        <f t="shared" si="26"/>
        <v>138.17339850482546</v>
      </c>
      <c r="GK55" s="34">
        <f t="shared" si="27"/>
        <v>287.09002520199527</v>
      </c>
      <c r="GL55" s="34">
        <f t="shared" si="28"/>
        <v>-1475.5901994626029</v>
      </c>
      <c r="GM55" s="34">
        <f t="shared" si="29"/>
        <v>1503.258833109111</v>
      </c>
      <c r="GN55" s="55">
        <f t="shared" si="1"/>
        <v>625.81994959600945</v>
      </c>
      <c r="GO55" s="55">
        <f t="shared" si="2"/>
        <v>121.75918840262209</v>
      </c>
      <c r="GP55" s="34">
        <f t="shared" si="30"/>
        <v>637.55463238283903</v>
      </c>
      <c r="GQ55" s="55">
        <f t="shared" si="31"/>
        <v>574.18005040399055</v>
      </c>
      <c r="GR55" s="55">
        <f t="shared" si="32"/>
        <v>-121.75918840262207</v>
      </c>
      <c r="GS55" s="34">
        <f t="shared" si="33"/>
        <v>586.94806434845179</v>
      </c>
      <c r="GT55" s="56">
        <f t="shared" si="34"/>
        <v>1085.9506091600188</v>
      </c>
      <c r="GU55" s="56">
        <f t="shared" si="35"/>
        <v>49.08744469281865</v>
      </c>
      <c r="GV55" s="34">
        <f t="shared" si="36"/>
        <v>1087.0594752641118</v>
      </c>
      <c r="GW55" s="30">
        <f t="shared" si="37"/>
        <v>114.04940184941579</v>
      </c>
      <c r="GX55" s="30">
        <f t="shared" si="3"/>
        <v>-49.087443465718458</v>
      </c>
      <c r="GY55" s="34">
        <f t="shared" si="38"/>
        <v>124.16458097303607</v>
      </c>
      <c r="GZ55" s="34">
        <f t="shared" si="4"/>
        <v>600.00001100943439</v>
      </c>
      <c r="HA55" s="34">
        <f t="shared" si="5"/>
        <v>1.2271001637031986E-6</v>
      </c>
      <c r="HB55" s="34">
        <f t="shared" si="39"/>
        <v>600.00001100943439</v>
      </c>
      <c r="HC55" s="33">
        <f t="shared" si="6"/>
        <v>0.19008233276054134</v>
      </c>
      <c r="HD55" s="33">
        <f t="shared" si="7"/>
        <v>-8.1812404663767033E-2</v>
      </c>
      <c r="HE55" s="33">
        <f t="shared" si="40"/>
        <v>0.20694096449122185</v>
      </c>
      <c r="HF55" s="33">
        <f t="shared" si="41"/>
        <v>0.10276941044414852</v>
      </c>
      <c r="HG55" s="33">
        <f t="shared" si="8"/>
        <v>-4.9847691131571878E-2</v>
      </c>
      <c r="HH55" s="33">
        <f t="shared" si="42"/>
        <v>0.11422059373942359</v>
      </c>
      <c r="HI55" s="30">
        <f t="shared" si="56"/>
        <v>8.8231218088141342E-2</v>
      </c>
      <c r="HJ55" s="30">
        <f t="shared" si="43"/>
        <v>-6.8557783024573285E-2</v>
      </c>
      <c r="HK55" s="33">
        <f t="shared" si="44"/>
        <v>0.11173592734014261</v>
      </c>
      <c r="HL55" s="61">
        <f t="shared" si="45"/>
        <v>6.918390295869041E-2</v>
      </c>
      <c r="HM55" s="61">
        <f t="shared" si="46"/>
        <v>-7.9189622704600157E-2</v>
      </c>
      <c r="HN55" s="33">
        <f t="shared" si="47"/>
        <v>0.10515421424124863</v>
      </c>
      <c r="HO55" s="30">
        <f t="shared" si="48"/>
        <v>-18.845111732473242</v>
      </c>
      <c r="HP55" s="30">
        <f t="shared" si="49"/>
        <v>0.71835513180862876</v>
      </c>
      <c r="HQ55" s="29">
        <v>900</v>
      </c>
      <c r="HR55" s="30">
        <v>5654.8667764616275</v>
      </c>
      <c r="HS55" s="30">
        <f t="shared" si="50"/>
        <v>-19.563466864281871</v>
      </c>
      <c r="HT55" s="30">
        <f t="shared" si="51"/>
        <v>-19.563466350177166</v>
      </c>
      <c r="HU55" s="30">
        <f t="shared" si="52"/>
        <v>5.1410470547352816E-7</v>
      </c>
      <c r="HV55" s="30">
        <f t="shared" si="53"/>
        <v>0.34917057344726032</v>
      </c>
      <c r="HW55" s="30">
        <f t="shared" si="9"/>
        <v>0.34917050156254348</v>
      </c>
      <c r="HX55" s="73">
        <f t="shared" si="10"/>
        <v>1.1009434388142836E-5</v>
      </c>
      <c r="HY55" s="30">
        <f t="shared" si="54"/>
        <v>1.0675251911511836</v>
      </c>
      <c r="HZ55" s="74">
        <f t="shared" si="55"/>
        <v>7.1884716845715957E-8</v>
      </c>
    </row>
    <row r="56" spans="7:234" ht="15" customHeight="1">
      <c r="O56" s="30" t="s">
        <v>241</v>
      </c>
      <c r="AY56" s="104" t="s">
        <v>33</v>
      </c>
      <c r="AZ56" s="106">
        <f>(CK38*BP50-CP38*BV50)*(CK38+BP50)+(CP38+BV50)*(CP38*BP50+CK38*BV50)</f>
        <v>7055275885.6049242</v>
      </c>
      <c r="BA56" s="106"/>
      <c r="BB56" s="106"/>
      <c r="BC56" s="106"/>
      <c r="BD56" s="106"/>
      <c r="BE56" s="106"/>
      <c r="BF56" s="106"/>
      <c r="BG56" s="106"/>
      <c r="BH56" s="106"/>
      <c r="BI56" s="106"/>
      <c r="BJ56" s="106"/>
      <c r="BK56" s="106"/>
      <c r="BL56" s="106"/>
      <c r="BM56" s="106"/>
      <c r="BN56" s="106"/>
      <c r="BO56" s="106"/>
      <c r="BS56" s="107" t="s">
        <v>115</v>
      </c>
      <c r="BT56" s="106">
        <f>(CP38*BP50+CK38*BV50)*(CK38+BP50)-(CP38+BV50)*(CK38*BP50-CP38*BV50)</f>
        <v>-633548958.08167386</v>
      </c>
      <c r="BU56" s="106"/>
      <c r="BV56" s="106"/>
      <c r="BW56" s="106"/>
      <c r="BX56" s="106"/>
      <c r="BY56" s="106"/>
      <c r="BZ56" s="106"/>
      <c r="CA56" s="106"/>
      <c r="CB56" s="106"/>
      <c r="CC56" s="106"/>
      <c r="CD56" s="106"/>
      <c r="CE56" s="106"/>
      <c r="CF56" s="106"/>
      <c r="CG56" s="106"/>
      <c r="CH56" s="106"/>
      <c r="CI56" s="106"/>
      <c r="CJ56" s="106"/>
      <c r="CK56" s="106"/>
      <c r="FO56" s="43" t="s">
        <v>209</v>
      </c>
      <c r="FP56" s="30">
        <f>BP50</f>
        <v>605.8686250797823</v>
      </c>
      <c r="FQ56" s="45" t="s">
        <v>212</v>
      </c>
      <c r="FR56" s="30">
        <f>BV50</f>
        <v>53.35279413934331</v>
      </c>
      <c r="FT56" s="29">
        <v>1000</v>
      </c>
      <c r="FU56" s="27">
        <f t="shared" si="12"/>
        <v>6283.1853071795858</v>
      </c>
      <c r="FV56" s="30">
        <f t="shared" si="13"/>
        <v>486.88499799089811</v>
      </c>
      <c r="FW56" s="30">
        <f t="shared" si="14"/>
        <v>44.263647301024747</v>
      </c>
      <c r="FX56" s="34">
        <f t="shared" si="15"/>
        <v>488.89290416305533</v>
      </c>
      <c r="FY56" s="30">
        <f t="shared" si="16"/>
        <v>2.0120464590964273</v>
      </c>
      <c r="FZ56" s="30">
        <f t="shared" si="17"/>
        <v>-22.131823650512374</v>
      </c>
      <c r="GA56" s="34">
        <f t="shared" si="18"/>
        <v>22.223094947620176</v>
      </c>
      <c r="GB56" s="34">
        <f t="shared" si="19"/>
        <v>31.557928343540311</v>
      </c>
      <c r="GC56" s="34">
        <f t="shared" si="20"/>
        <v>133.93600772304723</v>
      </c>
      <c r="GD56" s="34">
        <f t="shared" si="21"/>
        <v>137.60362279432977</v>
      </c>
      <c r="GE56" s="55">
        <f t="shared" si="22"/>
        <v>284.22103582822984</v>
      </c>
      <c r="GF56" s="55">
        <f t="shared" si="23"/>
        <v>-66.968003861523613</v>
      </c>
      <c r="GG56" s="34">
        <f t="shared" si="24"/>
        <v>292.0039567342692</v>
      </c>
      <c r="GH56" s="30">
        <f t="shared" si="25"/>
        <v>123.22417878301897</v>
      </c>
      <c r="GI56" s="30">
        <f t="shared" si="0"/>
        <v>-55.466192294742697</v>
      </c>
      <c r="GJ56" s="34">
        <f t="shared" si="26"/>
        <v>135.13214541487451</v>
      </c>
      <c r="GK56" s="34">
        <f t="shared" si="27"/>
        <v>284.22103582822984</v>
      </c>
      <c r="GL56" s="34">
        <f t="shared" si="28"/>
        <v>-1340.2075485966864</v>
      </c>
      <c r="GM56" s="34">
        <f t="shared" si="29"/>
        <v>1370.0138212889719</v>
      </c>
      <c r="GN56" s="55">
        <f t="shared" si="1"/>
        <v>631.55792834354031</v>
      </c>
      <c r="GO56" s="55">
        <f t="shared" si="2"/>
        <v>133.93600772304723</v>
      </c>
      <c r="GP56" s="34">
        <f t="shared" si="30"/>
        <v>645.60380344168709</v>
      </c>
      <c r="GQ56" s="55">
        <f t="shared" si="31"/>
        <v>568.44207165645969</v>
      </c>
      <c r="GR56" s="55">
        <f t="shared" si="32"/>
        <v>-133.93600772304725</v>
      </c>
      <c r="GS56" s="34">
        <f t="shared" si="33"/>
        <v>584.00791346853839</v>
      </c>
      <c r="GT56" s="56">
        <f t="shared" si="34"/>
        <v>1086.8849979908982</v>
      </c>
      <c r="GU56" s="56">
        <f t="shared" si="35"/>
        <v>44.263647301024719</v>
      </c>
      <c r="GV56" s="34">
        <f t="shared" si="36"/>
        <v>1087.7859483051177</v>
      </c>
      <c r="GW56" s="30">
        <f t="shared" si="37"/>
        <v>113.11501094243259</v>
      </c>
      <c r="GX56" s="30">
        <f t="shared" si="3"/>
        <v>-44.263646405421788</v>
      </c>
      <c r="GY56" s="34">
        <f t="shared" si="38"/>
        <v>121.4671811379965</v>
      </c>
      <c r="GZ56" s="34">
        <f t="shared" si="4"/>
        <v>600.00000893333072</v>
      </c>
      <c r="HA56" s="34">
        <f t="shared" si="5"/>
        <v>8.9560295890578345E-7</v>
      </c>
      <c r="HB56" s="34">
        <f t="shared" si="39"/>
        <v>600.00000893333072</v>
      </c>
      <c r="HC56" s="33">
        <f t="shared" si="6"/>
        <v>0.18852501532034199</v>
      </c>
      <c r="HD56" s="33">
        <f t="shared" si="7"/>
        <v>-7.3772743192048393E-2</v>
      </c>
      <c r="HE56" s="33">
        <f t="shared" si="40"/>
        <v>0.20244529888247617</v>
      </c>
      <c r="HF56" s="33">
        <f t="shared" si="41"/>
        <v>0.10224453475010449</v>
      </c>
      <c r="HG56" s="33">
        <f t="shared" si="8"/>
        <v>-4.4889166774821576E-2</v>
      </c>
      <c r="HH56" s="33">
        <f t="shared" si="42"/>
        <v>0.11166459680670086</v>
      </c>
      <c r="HI56" s="30">
        <f t="shared" si="56"/>
        <v>8.6846365601777692E-2</v>
      </c>
      <c r="HJ56" s="30">
        <f t="shared" si="43"/>
        <v>-6.5351859587235439E-2</v>
      </c>
      <c r="HK56" s="33">
        <f t="shared" si="44"/>
        <v>0.10868834698231164</v>
      </c>
      <c r="HL56" s="61">
        <f t="shared" si="45"/>
        <v>6.6355668756380493E-2</v>
      </c>
      <c r="HM56" s="61">
        <f t="shared" si="46"/>
        <v>-7.6158538998183992E-2</v>
      </c>
      <c r="HN56" s="33">
        <f t="shared" si="47"/>
        <v>0.10101087980234803</v>
      </c>
      <c r="HO56" s="30">
        <f t="shared" si="48"/>
        <v>-19.041689957314766</v>
      </c>
      <c r="HP56" s="30">
        <f t="shared" si="49"/>
        <v>0.87094740852964847</v>
      </c>
      <c r="HQ56" s="29">
        <v>1000</v>
      </c>
      <c r="HR56" s="30">
        <v>6283.1853071795858</v>
      </c>
      <c r="HS56" s="30">
        <f t="shared" si="50"/>
        <v>-19.912637365844414</v>
      </c>
      <c r="HT56" s="30">
        <f t="shared" si="51"/>
        <v>-19.912636923624426</v>
      </c>
      <c r="HU56" s="30">
        <f t="shared" si="52"/>
        <v>4.422199886278122E-7</v>
      </c>
      <c r="HV56" s="30">
        <f t="shared" si="53"/>
        <v>0</v>
      </c>
      <c r="HW56" s="30">
        <f t="shared" si="9"/>
        <v>0</v>
      </c>
      <c r="HX56" s="73">
        <f t="shared" si="10"/>
        <v>8.9333307187189348E-6</v>
      </c>
      <c r="HY56" s="30">
        <f t="shared" si="54"/>
        <v>0.87094696630965984</v>
      </c>
      <c r="HZ56" s="74">
        <f t="shared" si="55"/>
        <v>0</v>
      </c>
    </row>
    <row r="57" spans="7:234" ht="15" customHeight="1" thickBot="1">
      <c r="G57" s="30" t="s">
        <v>242</v>
      </c>
      <c r="AY57" s="104"/>
      <c r="BC57" s="108">
        <f>(CK38+BP50)^2+(CP38+BV50)^2</f>
        <v>11875006.315450938</v>
      </c>
      <c r="BD57" s="108"/>
      <c r="BE57" s="108"/>
      <c r="BF57" s="108"/>
      <c r="BG57" s="108"/>
      <c r="BH57" s="108"/>
      <c r="BI57" s="108"/>
      <c r="BJ57" s="108"/>
      <c r="BK57" s="108"/>
      <c r="BL57" s="108"/>
      <c r="BM57" s="108"/>
      <c r="BS57" s="107"/>
      <c r="BV57" s="108">
        <f>BC57</f>
        <v>11875006.315450938</v>
      </c>
      <c r="BW57" s="108"/>
      <c r="BX57" s="108"/>
      <c r="BY57" s="108"/>
      <c r="BZ57" s="108"/>
      <c r="CA57" s="108"/>
      <c r="CB57" s="108"/>
      <c r="CC57" s="108"/>
      <c r="CD57" s="108"/>
      <c r="CE57" s="108"/>
      <c r="CF57" s="108"/>
      <c r="CG57" s="108"/>
      <c r="FO57" s="43" t="s">
        <v>210</v>
      </c>
      <c r="FP57" s="30">
        <f>BH48</f>
        <v>599.99666902700687</v>
      </c>
      <c r="FQ57" s="45" t="s">
        <v>212</v>
      </c>
      <c r="FR57" s="30">
        <f>BM48</f>
        <v>-1.4137088456951923</v>
      </c>
      <c r="FT57" s="29">
        <v>1100</v>
      </c>
      <c r="FU57" s="27">
        <f t="shared" si="12"/>
        <v>6911.5038378975451</v>
      </c>
      <c r="FV57" s="30">
        <f t="shared" si="13"/>
        <v>487.57865620921081</v>
      </c>
      <c r="FW57" s="30">
        <f t="shared" si="14"/>
        <v>40.297008270590275</v>
      </c>
      <c r="FX57" s="34">
        <f t="shared" si="15"/>
        <v>489.24103963827463</v>
      </c>
      <c r="FY57" s="30">
        <f t="shared" si="16"/>
        <v>1.6652173499400045</v>
      </c>
      <c r="FZ57" s="30">
        <f t="shared" si="17"/>
        <v>-20.148504135295138</v>
      </c>
      <c r="GA57" s="34">
        <f t="shared" si="18"/>
        <v>20.217199798996557</v>
      </c>
      <c r="GB57" s="34">
        <f t="shared" si="19"/>
        <v>37.767936058744951</v>
      </c>
      <c r="GC57" s="34">
        <f t="shared" si="20"/>
        <v>145.72009003946408</v>
      </c>
      <c r="GD57" s="34">
        <f t="shared" si="21"/>
        <v>150.53491832544026</v>
      </c>
      <c r="GE57" s="55">
        <f t="shared" si="22"/>
        <v>281.11603197062755</v>
      </c>
      <c r="GF57" s="55">
        <f t="shared" si="23"/>
        <v>-72.860045019732041</v>
      </c>
      <c r="GG57" s="34">
        <f t="shared" si="24"/>
        <v>290.40456193246735</v>
      </c>
      <c r="GH57" s="30">
        <f t="shared" si="25"/>
        <v>122.87734774536811</v>
      </c>
      <c r="GI57" s="30">
        <f t="shared" si="0"/>
        <v>-50.452475630050557</v>
      </c>
      <c r="GJ57" s="34">
        <f t="shared" si="26"/>
        <v>132.83182934122743</v>
      </c>
      <c r="GK57" s="34">
        <f t="shared" si="27"/>
        <v>281.11603197062755</v>
      </c>
      <c r="GL57" s="34">
        <f t="shared" si="28"/>
        <v>-1230.3505402335163</v>
      </c>
      <c r="GM57" s="34">
        <f t="shared" si="29"/>
        <v>1262.0573185413632</v>
      </c>
      <c r="GN57" s="55">
        <f t="shared" si="1"/>
        <v>637.76793605874491</v>
      </c>
      <c r="GO57" s="55">
        <f t="shared" si="2"/>
        <v>145.72009003946408</v>
      </c>
      <c r="GP57" s="34">
        <f t="shared" si="30"/>
        <v>654.20355005589875</v>
      </c>
      <c r="GQ57" s="55">
        <f t="shared" si="31"/>
        <v>562.23206394125498</v>
      </c>
      <c r="GR57" s="55">
        <f t="shared" si="32"/>
        <v>-145.72009003946408</v>
      </c>
      <c r="GS57" s="34">
        <f t="shared" si="33"/>
        <v>580.80912386493458</v>
      </c>
      <c r="GT57" s="56">
        <f t="shared" si="34"/>
        <v>1087.5786562092107</v>
      </c>
      <c r="GU57" s="56">
        <f t="shared" si="35"/>
        <v>40.297008270590283</v>
      </c>
      <c r="GV57" s="34">
        <f t="shared" si="36"/>
        <v>1088.3249433498218</v>
      </c>
      <c r="GW57" s="30">
        <f t="shared" si="37"/>
        <v>112.42135118331662</v>
      </c>
      <c r="GX57" s="30">
        <f t="shared" si="3"/>
        <v>-40.297007597127653</v>
      </c>
      <c r="GY57" s="34">
        <f t="shared" si="38"/>
        <v>119.42532823134952</v>
      </c>
      <c r="GZ57" s="34">
        <f t="shared" si="4"/>
        <v>600.00000739252744</v>
      </c>
      <c r="HA57" s="34">
        <f t="shared" si="5"/>
        <v>6.7346262255796319E-7</v>
      </c>
      <c r="HB57" s="34">
        <f t="shared" si="39"/>
        <v>600.00000739252744</v>
      </c>
      <c r="HC57" s="33">
        <f t="shared" si="6"/>
        <v>0.18736891625492647</v>
      </c>
      <c r="HD57" s="33">
        <f t="shared" si="7"/>
        <v>-6.7161678711365094E-2</v>
      </c>
      <c r="HE57" s="33">
        <f t="shared" si="40"/>
        <v>0.19904221126654084</v>
      </c>
      <c r="HF57" s="33">
        <f t="shared" si="41"/>
        <v>0.1018557906489708</v>
      </c>
      <c r="HG57" s="33">
        <f t="shared" si="8"/>
        <v>-4.0826004272436642E-2</v>
      </c>
      <c r="HH57" s="33">
        <f t="shared" si="42"/>
        <v>0.10973315229947594</v>
      </c>
      <c r="HI57" s="30">
        <f t="shared" si="56"/>
        <v>8.5529037304013705E-2</v>
      </c>
      <c r="HJ57" s="30">
        <f t="shared" si="43"/>
        <v>-6.2993539381625635E-2</v>
      </c>
      <c r="HK57" s="33">
        <f t="shared" si="44"/>
        <v>0.10622336007666011</v>
      </c>
      <c r="HL57" s="61">
        <f t="shared" si="45"/>
        <v>6.3602987736563629E-2</v>
      </c>
      <c r="HM57" s="61">
        <f t="shared" si="46"/>
        <v>-7.379542631066241E-2</v>
      </c>
      <c r="HN57" s="33">
        <f t="shared" si="47"/>
        <v>9.7422302340839123E-2</v>
      </c>
      <c r="HO57" s="30">
        <f t="shared" si="48"/>
        <v>-19.193242893249021</v>
      </c>
      <c r="HP57" s="30">
        <f t="shared" si="49"/>
        <v>1.0335897121713451</v>
      </c>
      <c r="HQ57" s="29">
        <v>1100</v>
      </c>
      <c r="HR57" s="30">
        <v>6911.5038378975451</v>
      </c>
      <c r="HS57" s="30">
        <f t="shared" si="50"/>
        <v>-20.226832605420366</v>
      </c>
      <c r="HT57" s="30">
        <f t="shared" si="51"/>
        <v>-20.2268322228344</v>
      </c>
      <c r="HU57" s="30">
        <f t="shared" si="52"/>
        <v>3.8258596646301157E-7</v>
      </c>
      <c r="HV57" s="30">
        <f t="shared" si="53"/>
        <v>-0.31419529920997391</v>
      </c>
      <c r="HW57" s="30">
        <f t="shared" si="9"/>
        <v>-0.31419523957595175</v>
      </c>
      <c r="HX57" s="73">
        <f t="shared" si="10"/>
        <v>7.3925274364228244E-6</v>
      </c>
      <c r="HY57" s="30">
        <f t="shared" si="54"/>
        <v>0.71939403037540472</v>
      </c>
      <c r="HZ57" s="74">
        <f t="shared" si="55"/>
        <v>-5.9634022164800626E-8</v>
      </c>
    </row>
    <row r="58" spans="7:234" ht="15" customHeight="1">
      <c r="G58" s="30" t="s">
        <v>243</v>
      </c>
      <c r="Q58" s="3" t="s">
        <v>265</v>
      </c>
      <c r="AU58" s="108" t="s">
        <v>117</v>
      </c>
      <c r="AV58" s="108"/>
      <c r="AW58" s="108"/>
      <c r="AX58" s="108"/>
      <c r="AY58" s="108" t="s">
        <v>33</v>
      </c>
      <c r="AZ58" s="151">
        <f>AZ56/BC57</f>
        <v>594.12817965621514</v>
      </c>
      <c r="BA58" s="152"/>
      <c r="BB58" s="152"/>
      <c r="BC58" s="152"/>
      <c r="BD58" s="153"/>
      <c r="BE58" s="109" t="s">
        <v>115</v>
      </c>
      <c r="BF58" s="151">
        <f>BT56/BV57</f>
        <v>-53.351462833105501</v>
      </c>
      <c r="BG58" s="152"/>
      <c r="BH58" s="152"/>
      <c r="BI58" s="152"/>
      <c r="BJ58" s="153"/>
      <c r="FO58" s="43" t="s">
        <v>211</v>
      </c>
      <c r="FP58" s="30">
        <f>AZ58</f>
        <v>594.12817965621514</v>
      </c>
      <c r="FQ58" s="45" t="s">
        <v>212</v>
      </c>
      <c r="FR58" s="30">
        <f>BF58</f>
        <v>-53.351462833105501</v>
      </c>
      <c r="FT58" s="29">
        <v>1200</v>
      </c>
      <c r="FU58" s="27">
        <f t="shared" si="12"/>
        <v>7539.8223686155034</v>
      </c>
      <c r="FV58" s="30">
        <f t="shared" si="13"/>
        <v>488.10756493348646</v>
      </c>
      <c r="FW58" s="30">
        <f t="shared" si="14"/>
        <v>36.978994335300527</v>
      </c>
      <c r="FX58" s="34">
        <f t="shared" si="15"/>
        <v>489.50632372559591</v>
      </c>
      <c r="FY58" s="30">
        <f t="shared" si="16"/>
        <v>1.4007629878022154</v>
      </c>
      <c r="FZ58" s="30">
        <f t="shared" si="17"/>
        <v>-18.489497167650264</v>
      </c>
      <c r="GA58" s="34">
        <f t="shared" si="18"/>
        <v>18.542482100855423</v>
      </c>
      <c r="GB58" s="34">
        <f t="shared" si="19"/>
        <v>44.415531236490338</v>
      </c>
      <c r="GC58" s="34">
        <f t="shared" si="20"/>
        <v>157.08780769644267</v>
      </c>
      <c r="GD58" s="34">
        <f t="shared" si="21"/>
        <v>163.24619058922693</v>
      </c>
      <c r="GE58" s="55">
        <f t="shared" si="22"/>
        <v>277.79223438175484</v>
      </c>
      <c r="GF58" s="55">
        <f t="shared" si="23"/>
        <v>-78.543903848221333</v>
      </c>
      <c r="GG58" s="34">
        <f t="shared" si="24"/>
        <v>288.68264636885687</v>
      </c>
      <c r="GH58" s="30">
        <f t="shared" si="25"/>
        <v>122.61289191645213</v>
      </c>
      <c r="GI58" s="30">
        <f t="shared" ref="GI58:GI86" si="58">FZ58-($AJ$33^2*$FU58*$AP$39)/(1+($AJ$33*$FU58*$AP$39)^2)</f>
        <v>-46.268137704509812</v>
      </c>
      <c r="GJ58" s="34">
        <f t="shared" si="26"/>
        <v>131.05213401833277</v>
      </c>
      <c r="GK58" s="34">
        <f t="shared" si="27"/>
        <v>277.79223438175484</v>
      </c>
      <c r="GL58" s="34">
        <f t="shared" si="28"/>
        <v>-1139.5768577941903</v>
      </c>
      <c r="GM58" s="34">
        <f t="shared" si="29"/>
        <v>1172.9466911598704</v>
      </c>
      <c r="GN58" s="55">
        <f t="shared" ref="GN58:GN86" si="59">$FP$15+FP$12*(2*FP$12*FP$17+FP$17^2+(FU58*FP$19)^2)/((2*FP$12+FP$17)^2+(FU58*FP$19)^2)</f>
        <v>644.41553123649032</v>
      </c>
      <c r="GO58" s="55">
        <f t="shared" ref="GO58:GO86" si="60">2*FP$12^2*FU58*FP$19/((2*FP$12+FP$17)^2+(FU58*FP$19)^2)</f>
        <v>157.08780769644267</v>
      </c>
      <c r="GP58" s="34">
        <f t="shared" si="30"/>
        <v>663.28572744005476</v>
      </c>
      <c r="GQ58" s="55">
        <f t="shared" si="31"/>
        <v>555.58446876350968</v>
      </c>
      <c r="GR58" s="55">
        <f t="shared" si="32"/>
        <v>-157.08780769644267</v>
      </c>
      <c r="GS58" s="34">
        <f t="shared" si="33"/>
        <v>577.36529273771373</v>
      </c>
      <c r="GT58" s="56">
        <f t="shared" si="34"/>
        <v>1088.1075649334866</v>
      </c>
      <c r="GU58" s="56">
        <f t="shared" si="35"/>
        <v>36.978994335300513</v>
      </c>
      <c r="GV58" s="34">
        <f t="shared" si="36"/>
        <v>1088.7357433682114</v>
      </c>
      <c r="GW58" s="30">
        <f t="shared" si="37"/>
        <v>111.89244128443943</v>
      </c>
      <c r="GX58" s="30">
        <f t="shared" si="3"/>
        <v>-36.978993816220978</v>
      </c>
      <c r="GY58" s="34">
        <f t="shared" si="38"/>
        <v>117.8446621627464</v>
      </c>
      <c r="GZ58" s="34">
        <f t="shared" ref="GZ58:GZ86" si="61">FV58+GW58</f>
        <v>600.00000621792583</v>
      </c>
      <c r="HA58" s="34">
        <f t="shared" ref="HA58:HA86" si="62">FW58+GX58</f>
        <v>5.1907954912167042E-7</v>
      </c>
      <c r="HB58" s="34">
        <f t="shared" si="39"/>
        <v>600.00000621792583</v>
      </c>
      <c r="HC58" s="33">
        <f t="shared" ref="HC58:HC86" si="63">($GW58*($FV58+$GW58)+$GX58*($FW58+$GX58))/(($FV58+$GW58)^2+($FW58+$GX58)^2)</f>
        <v>0.18648740015480481</v>
      </c>
      <c r="HD58" s="33">
        <f t="shared" ref="HD58:HD86" si="64">($GX58*($FV58+$GW58)-$GW58*($FW58+$GX58))/(($FV58+$GW58)^2+($FW58+$GX58)^2)</f>
        <v>-6.1631655883002852E-2</v>
      </c>
      <c r="HE58" s="33">
        <f t="shared" si="40"/>
        <v>0.19640776823582914</v>
      </c>
      <c r="HF58" s="33">
        <f t="shared" ref="HF58:HF86" si="65">$HC58*(($GT58*($GT58-$FV58)+$GU58*($GU58-$FW58))/($GT58^2+$GU58^2))-($HD58)*(($GT58*($GU58-$FW58)-$GU58*($GT58-$FV58))/($GT58^2+$GU58^2))</f>
        <v>0.10155989339264669</v>
      </c>
      <c r="HG58" s="33">
        <f t="shared" ref="HG58:HG86" si="66">$HD58*($GT58*($GT58-$FV58)+$GU58*($GU58-$FW58))/($GT58^2+$GU58^2)+$HC58*(($GT58*($GU58-$FW58)-$GU58*($GT58-$FV58))/($GT58^2+$GU58^2))</f>
        <v>-3.7436166758708395E-2</v>
      </c>
      <c r="HH58" s="33">
        <f t="shared" si="42"/>
        <v>0.10823991189719061</v>
      </c>
      <c r="HI58" s="30">
        <f t="shared" si="56"/>
        <v>8.4240556755913909E-2</v>
      </c>
      <c r="HJ58" s="30">
        <f t="shared" si="43"/>
        <v>-6.1254623040190768E-2</v>
      </c>
      <c r="HK58" s="33">
        <f t="shared" si="44"/>
        <v>0.10415661403070965</v>
      </c>
      <c r="HL58" s="61">
        <f t="shared" si="45"/>
        <v>6.0912071153188502E-2</v>
      </c>
      <c r="HM58" s="61">
        <f t="shared" si="46"/>
        <v>-7.1881131503671605E-2</v>
      </c>
      <c r="HN58" s="33">
        <f t="shared" si="47"/>
        <v>9.4218774553797027E-2</v>
      </c>
      <c r="HO58" s="30">
        <f t="shared" si="48"/>
        <v>-19.312251398160541</v>
      </c>
      <c r="HP58" s="30">
        <f t="shared" si="49"/>
        <v>1.204999908268114</v>
      </c>
      <c r="HQ58" s="29">
        <v>1200</v>
      </c>
      <c r="HR58" s="30">
        <v>7539.8223686155034</v>
      </c>
      <c r="HS58" s="30">
        <f t="shared" si="50"/>
        <v>-20.517251306428655</v>
      </c>
      <c r="HT58" s="30">
        <f t="shared" si="51"/>
        <v>-20.51725097329615</v>
      </c>
      <c r="HU58" s="30">
        <f t="shared" si="52"/>
        <v>3.3313250469291233E-7</v>
      </c>
      <c r="HV58" s="30">
        <f t="shared" si="53"/>
        <v>-0.60461404967172427</v>
      </c>
      <c r="HW58" s="30">
        <f t="shared" si="9"/>
        <v>-0.60461394058424034</v>
      </c>
      <c r="HX58" s="73">
        <f t="shared" si="10"/>
        <v>6.2179258293326711E-6</v>
      </c>
      <c r="HY58" s="30">
        <f t="shared" si="54"/>
        <v>0.60038552546388502</v>
      </c>
      <c r="HZ58" s="74">
        <f t="shared" si="55"/>
        <v>-1.0908748393489986E-7</v>
      </c>
    </row>
    <row r="59" spans="7:234" ht="15" customHeight="1" thickBot="1">
      <c r="AU59" s="108"/>
      <c r="AV59" s="108"/>
      <c r="AW59" s="108"/>
      <c r="AX59" s="108"/>
      <c r="AY59" s="108"/>
      <c r="AZ59" s="159"/>
      <c r="BA59" s="155"/>
      <c r="BB59" s="155"/>
      <c r="BC59" s="155"/>
      <c r="BD59" s="156"/>
      <c r="BE59" s="109"/>
      <c r="BF59" s="159"/>
      <c r="BG59" s="155"/>
      <c r="BH59" s="155"/>
      <c r="BI59" s="155"/>
      <c r="BJ59" s="156"/>
      <c r="FT59" s="29">
        <v>1300</v>
      </c>
      <c r="FU59" s="27">
        <f t="shared" si="12"/>
        <v>8168.1408993334617</v>
      </c>
      <c r="FV59" s="30">
        <f t="shared" si="13"/>
        <v>488.51997495413605</v>
      </c>
      <c r="FW59" s="30">
        <f t="shared" si="14"/>
        <v>34.163297066838766</v>
      </c>
      <c r="FX59" s="34">
        <f t="shared" si="15"/>
        <v>489.71307599008094</v>
      </c>
      <c r="FY59" s="30">
        <f t="shared" si="16"/>
        <v>1.1945579774774291</v>
      </c>
      <c r="FZ59" s="30">
        <f t="shared" si="17"/>
        <v>-17.081648533419383</v>
      </c>
      <c r="GA59" s="34">
        <f t="shared" si="18"/>
        <v>17.123366648554352</v>
      </c>
      <c r="GB59" s="34">
        <f t="shared" si="19"/>
        <v>51.465145519900219</v>
      </c>
      <c r="GC59" s="34">
        <f t="shared" si="20"/>
        <v>168.01912423458117</v>
      </c>
      <c r="GD59" s="34">
        <f t="shared" si="21"/>
        <v>175.72446418168451</v>
      </c>
      <c r="GE59" s="55">
        <f t="shared" si="22"/>
        <v>274.26742724004987</v>
      </c>
      <c r="GF59" s="55">
        <f t="shared" si="23"/>
        <v>-84.009562117290585</v>
      </c>
      <c r="GG59" s="34">
        <f t="shared" si="24"/>
        <v>286.8453035557929</v>
      </c>
      <c r="GH59" s="30">
        <f t="shared" si="25"/>
        <v>122.40668576462902</v>
      </c>
      <c r="GI59" s="30">
        <f t="shared" si="58"/>
        <v>-42.723470567443869</v>
      </c>
      <c r="GJ59" s="34">
        <f t="shared" si="26"/>
        <v>129.64833842825706</v>
      </c>
      <c r="GK59" s="34">
        <f t="shared" si="27"/>
        <v>274.26742724004987</v>
      </c>
      <c r="GL59" s="34">
        <f t="shared" si="28"/>
        <v>-1063.4245965289545</v>
      </c>
      <c r="GM59" s="34">
        <f t="shared" si="29"/>
        <v>1098.2233352773221</v>
      </c>
      <c r="GN59" s="55">
        <f t="shared" si="59"/>
        <v>651.46514551990026</v>
      </c>
      <c r="GO59" s="55">
        <f t="shared" si="60"/>
        <v>168.01912423458117</v>
      </c>
      <c r="GP59" s="34">
        <f t="shared" si="30"/>
        <v>672.78322061108247</v>
      </c>
      <c r="GQ59" s="55">
        <f t="shared" si="31"/>
        <v>548.53485448009985</v>
      </c>
      <c r="GR59" s="55">
        <f t="shared" si="32"/>
        <v>-168.0191242345812</v>
      </c>
      <c r="GS59" s="34">
        <f t="shared" si="33"/>
        <v>573.6906071115859</v>
      </c>
      <c r="GT59" s="56">
        <f t="shared" si="34"/>
        <v>1088.5199749541362</v>
      </c>
      <c r="GU59" s="56">
        <f t="shared" si="35"/>
        <v>34.163297066838737</v>
      </c>
      <c r="GV59" s="34">
        <f t="shared" si="36"/>
        <v>1089.0559520707052</v>
      </c>
      <c r="GW59" s="30">
        <f t="shared" si="37"/>
        <v>111.48003034806004</v>
      </c>
      <c r="GX59" s="30">
        <f t="shared" si="3"/>
        <v>-34.163296658359208</v>
      </c>
      <c r="GY59" s="34">
        <f t="shared" si="38"/>
        <v>116.59728986975402</v>
      </c>
      <c r="GZ59" s="34">
        <f t="shared" si="61"/>
        <v>600.00000530219609</v>
      </c>
      <c r="HA59" s="34">
        <f t="shared" si="62"/>
        <v>4.0847955773415379E-7</v>
      </c>
      <c r="HB59" s="34">
        <f t="shared" si="39"/>
        <v>600.00000530219609</v>
      </c>
      <c r="HC59" s="33">
        <f t="shared" si="63"/>
        <v>0.18580004889942231</v>
      </c>
      <c r="HD59" s="33">
        <f t="shared" si="64"/>
        <v>-5.6938827387256495E-2</v>
      </c>
      <c r="HE59" s="33">
        <f t="shared" si="40"/>
        <v>0.19432881473230756</v>
      </c>
      <c r="HF59" s="33">
        <f t="shared" si="65"/>
        <v>0.10132948080549158</v>
      </c>
      <c r="HG59" s="33">
        <f t="shared" si="66"/>
        <v>-3.4565323974257572E-2</v>
      </c>
      <c r="HH59" s="33">
        <f t="shared" si="42"/>
        <v>0.10706271667464762</v>
      </c>
      <c r="HI59" s="30">
        <f t="shared" si="56"/>
        <v>8.2958527575241747E-2</v>
      </c>
      <c r="HJ59" s="30">
        <f t="shared" si="43"/>
        <v>-5.997595930060063E-2</v>
      </c>
      <c r="HK59" s="33">
        <f t="shared" si="44"/>
        <v>0.10236812488015715</v>
      </c>
      <c r="HL59" s="61">
        <f t="shared" si="45"/>
        <v>5.8281743169884957E-2</v>
      </c>
      <c r="HM59" s="61">
        <f t="shared" si="46"/>
        <v>-7.0269335729536503E-2</v>
      </c>
      <c r="HN59" s="33">
        <f t="shared" si="47"/>
        <v>9.1293708056967141E-2</v>
      </c>
      <c r="HO59" s="30">
        <f t="shared" si="48"/>
        <v>-19.407234815196052</v>
      </c>
      <c r="HP59" s="30">
        <f t="shared" si="49"/>
        <v>1.3839485351428742</v>
      </c>
      <c r="HQ59" s="29">
        <v>1300</v>
      </c>
      <c r="HR59" s="30">
        <v>8168.1408993334617</v>
      </c>
      <c r="HS59" s="30">
        <f t="shared" si="50"/>
        <v>-20.791183350338926</v>
      </c>
      <c r="HT59" s="30">
        <f t="shared" si="51"/>
        <v>-20.791183058361348</v>
      </c>
      <c r="HU59" s="30">
        <f t="shared" si="52"/>
        <v>2.9197757811516567E-7</v>
      </c>
      <c r="HV59" s="30">
        <f t="shared" si="53"/>
        <v>-0.87854613473692211</v>
      </c>
      <c r="HW59" s="30">
        <f t="shared" si="9"/>
        <v>-0.8785459844945116</v>
      </c>
      <c r="HX59" s="73">
        <f t="shared" si="10"/>
        <v>5.3021960866317386E-6</v>
      </c>
      <c r="HY59" s="30">
        <f t="shared" si="54"/>
        <v>0.50540210842837396</v>
      </c>
      <c r="HZ59" s="74">
        <f t="shared" si="55"/>
        <v>-1.5024241051264653E-7</v>
      </c>
    </row>
    <row r="60" spans="7:234" ht="15" customHeight="1">
      <c r="G60" s="30" t="s">
        <v>244</v>
      </c>
      <c r="AY60" s="104"/>
      <c r="FT60" s="29">
        <v>1500</v>
      </c>
      <c r="FU60" s="27">
        <f t="shared" si="12"/>
        <v>9424.7779607693792</v>
      </c>
      <c r="FV60" s="30">
        <f t="shared" si="13"/>
        <v>489.11242311627728</v>
      </c>
      <c r="FW60" s="30">
        <f t="shared" si="14"/>
        <v>29.644097855695556</v>
      </c>
      <c r="FX60" s="34">
        <f t="shared" si="15"/>
        <v>490.00993355681504</v>
      </c>
      <c r="FY60" s="30">
        <f t="shared" si="16"/>
        <v>0.89833389640682104</v>
      </c>
      <c r="FZ60" s="30">
        <f t="shared" si="17"/>
        <v>-14.822048927847778</v>
      </c>
      <c r="GA60" s="34">
        <f t="shared" si="18"/>
        <v>14.849247058654083</v>
      </c>
      <c r="GB60" s="34">
        <f t="shared" si="19"/>
        <v>66.625030563762778</v>
      </c>
      <c r="GC60" s="34">
        <f t="shared" si="20"/>
        <v>188.51027462882587</v>
      </c>
      <c r="GD60" s="34">
        <f t="shared" si="21"/>
        <v>199.93753609129445</v>
      </c>
      <c r="GE60" s="55">
        <f t="shared" si="22"/>
        <v>266.68748471811858</v>
      </c>
      <c r="GF60" s="55">
        <f t="shared" si="23"/>
        <v>-94.255137314412934</v>
      </c>
      <c r="GG60" s="34">
        <f t="shared" si="24"/>
        <v>282.85375269816655</v>
      </c>
      <c r="GH60" s="30">
        <f t="shared" si="25"/>
        <v>122.11046004710641</v>
      </c>
      <c r="GI60" s="30">
        <f t="shared" si="58"/>
        <v>-37.044961357336028</v>
      </c>
      <c r="GJ60" s="34">
        <f t="shared" si="26"/>
        <v>127.60600932120121</v>
      </c>
      <c r="GK60" s="34">
        <f t="shared" si="27"/>
        <v>266.68748471811858</v>
      </c>
      <c r="GL60" s="34">
        <f t="shared" si="28"/>
        <v>-943.08150047118806</v>
      </c>
      <c r="GM60" s="34">
        <f t="shared" si="29"/>
        <v>980.06373825188757</v>
      </c>
      <c r="GN60" s="55">
        <f t="shared" si="59"/>
        <v>666.62503056376272</v>
      </c>
      <c r="GO60" s="55">
        <f t="shared" si="60"/>
        <v>188.51027462882587</v>
      </c>
      <c r="GP60" s="34">
        <f t="shared" si="30"/>
        <v>692.76623403192286</v>
      </c>
      <c r="GQ60" s="55">
        <f t="shared" si="31"/>
        <v>533.37496943623717</v>
      </c>
      <c r="GR60" s="55">
        <f t="shared" si="32"/>
        <v>-188.51027462882584</v>
      </c>
      <c r="GS60" s="34">
        <f t="shared" si="33"/>
        <v>565.70750539633309</v>
      </c>
      <c r="GT60" s="56">
        <f t="shared" si="34"/>
        <v>1089.1124231162771</v>
      </c>
      <c r="GU60" s="56">
        <f t="shared" si="35"/>
        <v>29.644097855695577</v>
      </c>
      <c r="GV60" s="34">
        <f t="shared" si="36"/>
        <v>1089.5157836047565</v>
      </c>
      <c r="GW60" s="30">
        <f t="shared" si="37"/>
        <v>110.8875808706608</v>
      </c>
      <c r="GX60" s="30">
        <f t="shared" si="3"/>
        <v>-29.644097589594846</v>
      </c>
      <c r="GY60" s="34">
        <f t="shared" si="38"/>
        <v>114.78165407959915</v>
      </c>
      <c r="GZ60" s="34">
        <f t="shared" si="61"/>
        <v>600.00000398693805</v>
      </c>
      <c r="HA60" s="34">
        <f t="shared" si="62"/>
        <v>2.6610070946730957E-7</v>
      </c>
      <c r="HB60" s="34">
        <f t="shared" si="39"/>
        <v>600.00000398693805</v>
      </c>
      <c r="HC60" s="33">
        <f t="shared" si="63"/>
        <v>0.18481263353446181</v>
      </c>
      <c r="HD60" s="33">
        <f t="shared" si="64"/>
        <v>-4.9406829069652762E-2</v>
      </c>
      <c r="HE60" s="33">
        <f t="shared" si="40"/>
        <v>0.19130275552814485</v>
      </c>
      <c r="HF60" s="33">
        <f t="shared" si="65"/>
        <v>0.10099895508412636</v>
      </c>
      <c r="HG60" s="33">
        <f t="shared" si="66"/>
        <v>-2.9967632043201783E-2</v>
      </c>
      <c r="HH60" s="33">
        <f t="shared" si="42"/>
        <v>0.105351069754237</v>
      </c>
      <c r="HI60" s="30">
        <f t="shared" si="56"/>
        <v>8.0368513391080365E-2</v>
      </c>
      <c r="HJ60" s="30">
        <f t="shared" si="43"/>
        <v>-5.8372209308753774E-2</v>
      </c>
      <c r="HK60" s="33">
        <f t="shared" si="44"/>
        <v>9.9329818102507489E-2</v>
      </c>
      <c r="HL60" s="61">
        <f t="shared" si="45"/>
        <v>5.3223186883083071E-2</v>
      </c>
      <c r="HM60" s="61">
        <f t="shared" si="46"/>
        <v>-6.7588885948521138E-2</v>
      </c>
      <c r="HN60" s="33">
        <f t="shared" si="47"/>
        <v>8.6028862167029638E-2</v>
      </c>
      <c r="HO60" s="30">
        <f t="shared" si="48"/>
        <v>-19.547221002540809</v>
      </c>
      <c r="HP60" s="30">
        <f t="shared" si="49"/>
        <v>1.7598956483513959</v>
      </c>
      <c r="HQ60" s="29">
        <v>1500</v>
      </c>
      <c r="HR60" s="30">
        <v>9424.7779607693792</v>
      </c>
      <c r="HS60" s="30">
        <f t="shared" si="50"/>
        <v>-21.307116650892205</v>
      </c>
      <c r="HT60" s="30">
        <f t="shared" si="51"/>
        <v>-21.307116422341061</v>
      </c>
      <c r="HU60" s="30">
        <f t="shared" si="52"/>
        <v>2.2855114423236955E-7</v>
      </c>
      <c r="HV60" s="30">
        <f t="shared" si="53"/>
        <v>-1.3944794987166347</v>
      </c>
      <c r="HW60" s="30">
        <f t="shared" si="9"/>
        <v>-1.3944792850477903</v>
      </c>
      <c r="HX60" s="73">
        <f t="shared" si="10"/>
        <v>3.9869380543677835E-6</v>
      </c>
      <c r="HY60" s="30">
        <f t="shared" si="54"/>
        <v>0.36541592108361698</v>
      </c>
      <c r="HZ60" s="74">
        <f t="shared" si="55"/>
        <v>-2.1366884439544265E-7</v>
      </c>
    </row>
    <row r="61" spans="7:234" ht="15" customHeight="1">
      <c r="G61" s="30" t="s">
        <v>245</v>
      </c>
      <c r="AY61" s="104"/>
      <c r="FT61" s="29">
        <v>1700</v>
      </c>
      <c r="FU61" s="27">
        <f t="shared" si="12"/>
        <v>10681.415022205296</v>
      </c>
      <c r="FV61" s="30">
        <f t="shared" si="13"/>
        <v>489.50916647716571</v>
      </c>
      <c r="FW61" s="30">
        <f t="shared" si="14"/>
        <v>26.177773812965075</v>
      </c>
      <c r="FX61" s="34">
        <f t="shared" si="15"/>
        <v>490.20862896013193</v>
      </c>
      <c r="FY61" s="30">
        <f t="shared" si="16"/>
        <v>0.69996221596263664</v>
      </c>
      <c r="FZ61" s="30">
        <f t="shared" si="17"/>
        <v>-13.088886906482537</v>
      </c>
      <c r="GA61" s="34">
        <f t="shared" si="18"/>
        <v>13.107589692787357</v>
      </c>
      <c r="GB61" s="34">
        <f t="shared" si="19"/>
        <v>82.955969507467003</v>
      </c>
      <c r="GC61" s="34">
        <f t="shared" si="20"/>
        <v>207.10357029166929</v>
      </c>
      <c r="GD61" s="34">
        <f t="shared" si="21"/>
        <v>223.09993658555842</v>
      </c>
      <c r="GE61" s="55">
        <f t="shared" si="22"/>
        <v>258.52201524626651</v>
      </c>
      <c r="GF61" s="55">
        <f t="shared" si="23"/>
        <v>-103.55178514583464</v>
      </c>
      <c r="GG61" s="34">
        <f t="shared" si="24"/>
        <v>278.4898644006276</v>
      </c>
      <c r="GH61" s="30">
        <f t="shared" si="25"/>
        <v>121.91208727299781</v>
      </c>
      <c r="GI61" s="30">
        <f t="shared" si="58"/>
        <v>-32.697339050148862</v>
      </c>
      <c r="GJ61" s="34">
        <f t="shared" si="26"/>
        <v>126.22073127747052</v>
      </c>
      <c r="GK61" s="34">
        <f t="shared" si="27"/>
        <v>258.52201524626651</v>
      </c>
      <c r="GL61" s="34">
        <f t="shared" si="28"/>
        <v>-852.51622322534229</v>
      </c>
      <c r="GM61" s="34">
        <f t="shared" si="29"/>
        <v>890.85214442655547</v>
      </c>
      <c r="GN61" s="55">
        <f t="shared" si="59"/>
        <v>682.95596950746699</v>
      </c>
      <c r="GO61" s="55">
        <f t="shared" si="60"/>
        <v>207.10357029166929</v>
      </c>
      <c r="GP61" s="34">
        <f t="shared" si="30"/>
        <v>713.66711085312079</v>
      </c>
      <c r="GQ61" s="55">
        <f t="shared" si="31"/>
        <v>517.04403049253301</v>
      </c>
      <c r="GR61" s="55">
        <f t="shared" si="32"/>
        <v>-207.10357029166931</v>
      </c>
      <c r="GS61" s="34">
        <f t="shared" si="33"/>
        <v>556.97972880125519</v>
      </c>
      <c r="GT61" s="56">
        <f t="shared" si="34"/>
        <v>1089.5091664771658</v>
      </c>
      <c r="GU61" s="56">
        <f t="shared" si="35"/>
        <v>26.177773812965057</v>
      </c>
      <c r="GV61" s="34">
        <f t="shared" si="36"/>
        <v>1089.8236094339172</v>
      </c>
      <c r="GW61" s="30">
        <f t="shared" si="37"/>
        <v>110.49083662914347</v>
      </c>
      <c r="GX61" s="30">
        <f t="shared" si="3"/>
        <v>-26.177773630076516</v>
      </c>
      <c r="GY61" s="34">
        <f t="shared" si="38"/>
        <v>113.54955222824792</v>
      </c>
      <c r="GZ61" s="34">
        <f t="shared" si="61"/>
        <v>600.00000310630912</v>
      </c>
      <c r="HA61" s="34">
        <f t="shared" si="62"/>
        <v>1.8288855940795656E-7</v>
      </c>
      <c r="HB61" s="34">
        <f t="shared" si="39"/>
        <v>600.00000310630912</v>
      </c>
      <c r="HC61" s="33">
        <f t="shared" si="63"/>
        <v>0.18415139341522163</v>
      </c>
      <c r="HD61" s="33">
        <f t="shared" si="64"/>
        <v>-4.3629622547047678E-2</v>
      </c>
      <c r="HE61" s="33">
        <f t="shared" si="40"/>
        <v>0.18924925273396875</v>
      </c>
      <c r="HF61" s="33">
        <f t="shared" si="65"/>
        <v>0.10077792441472661</v>
      </c>
      <c r="HG61" s="33">
        <f t="shared" si="66"/>
        <v>-2.6448529416297797E-2</v>
      </c>
      <c r="HH61" s="33">
        <f t="shared" si="42"/>
        <v>0.10419076138326813</v>
      </c>
      <c r="HI61" s="30">
        <f t="shared" si="56"/>
        <v>7.7715065588304308E-2</v>
      </c>
      <c r="HJ61" s="30">
        <f t="shared" si="43"/>
        <v>-5.7577537004794677E-2</v>
      </c>
      <c r="HK61" s="33">
        <f t="shared" si="44"/>
        <v>9.6720236698081649E-2</v>
      </c>
      <c r="HL61" s="61">
        <f t="shared" si="45"/>
        <v>4.8478042424214371E-2</v>
      </c>
      <c r="HM61" s="61">
        <f t="shared" si="46"/>
        <v>-6.5284586211080964E-2</v>
      </c>
      <c r="HN61" s="33">
        <f t="shared" si="47"/>
        <v>8.131542162490453E-2</v>
      </c>
      <c r="HO61" s="30">
        <f t="shared" si="48"/>
        <v>-19.643415766247482</v>
      </c>
      <c r="HP61" s="30">
        <f t="shared" si="49"/>
        <v>2.1531260531183101</v>
      </c>
      <c r="HQ61" s="29">
        <v>1700</v>
      </c>
      <c r="HR61" s="30">
        <v>10681.415022205296</v>
      </c>
      <c r="HS61" s="30">
        <f t="shared" si="50"/>
        <v>-21.796541819365792</v>
      </c>
      <c r="HT61" s="30">
        <f t="shared" si="51"/>
        <v>-21.796541636345324</v>
      </c>
      <c r="HU61" s="30">
        <f t="shared" si="52"/>
        <v>1.8302046811413675E-7</v>
      </c>
      <c r="HV61" s="30">
        <f t="shared" si="53"/>
        <v>-1.8839047127208985</v>
      </c>
      <c r="HW61" s="30">
        <f t="shared" si="9"/>
        <v>-1.883904453521378</v>
      </c>
      <c r="HX61" s="73">
        <f t="shared" si="10"/>
        <v>3.1063091228133999E-6</v>
      </c>
      <c r="HY61" s="30">
        <f t="shared" si="54"/>
        <v>0.26922115737694341</v>
      </c>
      <c r="HZ61" s="74">
        <f t="shared" si="55"/>
        <v>-2.5919952051367545E-7</v>
      </c>
    </row>
    <row r="62" spans="7:234" ht="15" customHeight="1">
      <c r="O62" s="30" t="s">
        <v>197</v>
      </c>
      <c r="FT62" s="29">
        <v>2000</v>
      </c>
      <c r="FU62" s="27">
        <f t="shared" si="12"/>
        <v>12566.370614359172</v>
      </c>
      <c r="FV62" s="30">
        <f t="shared" si="13"/>
        <v>489.8968444696801</v>
      </c>
      <c r="FW62" s="30">
        <f t="shared" si="14"/>
        <v>22.268730015271768</v>
      </c>
      <c r="FX62" s="34">
        <f t="shared" si="15"/>
        <v>490.40270651561764</v>
      </c>
      <c r="FY62" s="30">
        <f t="shared" si="16"/>
        <v>0.5061232197054466</v>
      </c>
      <c r="FZ62" s="30">
        <f t="shared" si="17"/>
        <v>-11.134365007635884</v>
      </c>
      <c r="GA62" s="34">
        <f t="shared" si="18"/>
        <v>11.145862229401162</v>
      </c>
      <c r="GB62" s="34">
        <f t="shared" si="19"/>
        <v>109.02819374587196</v>
      </c>
      <c r="GC62" s="34">
        <f t="shared" si="20"/>
        <v>231.36501294715194</v>
      </c>
      <c r="GD62" s="34">
        <f t="shared" si="21"/>
        <v>255.76730879360477</v>
      </c>
      <c r="GE62" s="55">
        <f t="shared" si="22"/>
        <v>245.48590312706401</v>
      </c>
      <c r="GF62" s="55">
        <f t="shared" si="23"/>
        <v>-115.68250647357597</v>
      </c>
      <c r="GG62" s="34">
        <f t="shared" si="24"/>
        <v>271.3775431720893</v>
      </c>
      <c r="GH62" s="30">
        <f t="shared" si="25"/>
        <v>121.71824720977699</v>
      </c>
      <c r="GI62" s="30">
        <f t="shared" si="58"/>
        <v>-27.801549329752433</v>
      </c>
      <c r="GJ62" s="34">
        <f t="shared" si="26"/>
        <v>124.85294489500454</v>
      </c>
      <c r="GK62" s="34">
        <f t="shared" si="27"/>
        <v>245.48590312706401</v>
      </c>
      <c r="GL62" s="34">
        <f t="shared" si="28"/>
        <v>-752.30227884115732</v>
      </c>
      <c r="GM62" s="34">
        <f t="shared" si="29"/>
        <v>791.3419282356449</v>
      </c>
      <c r="GN62" s="55">
        <f t="shared" si="59"/>
        <v>709.02819374587193</v>
      </c>
      <c r="GO62" s="55">
        <f t="shared" si="60"/>
        <v>231.36501294715194</v>
      </c>
      <c r="GP62" s="34">
        <f t="shared" si="30"/>
        <v>745.82219646680494</v>
      </c>
      <c r="GQ62" s="55">
        <f t="shared" si="31"/>
        <v>490.97180625412796</v>
      </c>
      <c r="GR62" s="55">
        <f t="shared" si="32"/>
        <v>-231.36501294715194</v>
      </c>
      <c r="GS62" s="34">
        <f t="shared" si="33"/>
        <v>542.75508634417861</v>
      </c>
      <c r="GT62" s="56">
        <f t="shared" si="34"/>
        <v>1089.89684446968</v>
      </c>
      <c r="GU62" s="56">
        <f t="shared" si="35"/>
        <v>22.268730015271757</v>
      </c>
      <c r="GV62" s="34">
        <f t="shared" si="36"/>
        <v>1090.124317645221</v>
      </c>
      <c r="GW62" s="30">
        <f t="shared" si="37"/>
        <v>110.10315777624486</v>
      </c>
      <c r="GX62" s="30">
        <f t="shared" si="3"/>
        <v>-22.26872990290142</v>
      </c>
      <c r="GY62" s="34">
        <f t="shared" si="38"/>
        <v>112.33254952946206</v>
      </c>
      <c r="GZ62" s="34">
        <f t="shared" si="61"/>
        <v>600.00000224592497</v>
      </c>
      <c r="HA62" s="34">
        <f t="shared" si="62"/>
        <v>1.1237034769351339E-7</v>
      </c>
      <c r="HB62" s="34">
        <f t="shared" si="39"/>
        <v>600.00000224592497</v>
      </c>
      <c r="HC62" s="33">
        <f t="shared" si="63"/>
        <v>0.18350526226655872</v>
      </c>
      <c r="HD62" s="33">
        <f t="shared" si="64"/>
        <v>-3.7114549733609122E-2</v>
      </c>
      <c r="HE62" s="33">
        <f t="shared" si="40"/>
        <v>0.18722091518162989</v>
      </c>
      <c r="HF62" s="33">
        <f t="shared" si="65"/>
        <v>0.1005621852370223</v>
      </c>
      <c r="HG62" s="33">
        <f t="shared" si="66"/>
        <v>-2.2486643683127264E-2</v>
      </c>
      <c r="HH62" s="33">
        <f t="shared" si="42"/>
        <v>0.1030456318519961</v>
      </c>
      <c r="HI62" s="30">
        <f t="shared" si="56"/>
        <v>7.3617625199663861E-2</v>
      </c>
      <c r="HJ62" s="30">
        <f t="shared" si="43"/>
        <v>-5.7178132258425891E-2</v>
      </c>
      <c r="HK62" s="33">
        <f t="shared" si="44"/>
        <v>9.3214234688700992E-2</v>
      </c>
      <c r="HL62" s="61">
        <f t="shared" si="45"/>
        <v>4.2032791075969723E-2</v>
      </c>
      <c r="HM62" s="61">
        <f t="shared" si="46"/>
        <v>-6.2101615979369591E-2</v>
      </c>
      <c r="HN62" s="33">
        <f t="shared" si="47"/>
        <v>7.4989107428247284E-2</v>
      </c>
      <c r="HO62" s="30">
        <f t="shared" si="48"/>
        <v>-19.739408268434289</v>
      </c>
      <c r="HP62" s="30">
        <f t="shared" si="49"/>
        <v>2.7606281803407668</v>
      </c>
      <c r="HQ62" s="29">
        <v>2000</v>
      </c>
      <c r="HR62" s="30">
        <v>12566.370614359172</v>
      </c>
      <c r="HS62" s="30">
        <f t="shared" si="50"/>
        <v>-22.500036448775056</v>
      </c>
      <c r="HT62" s="30">
        <f t="shared" si="51"/>
        <v>-22.500036312795515</v>
      </c>
      <c r="HU62" s="30">
        <f t="shared" si="52"/>
        <v>1.3597954051647321E-7</v>
      </c>
      <c r="HV62" s="30">
        <f t="shared" si="53"/>
        <v>-2.5873993891710896</v>
      </c>
      <c r="HW62" s="30">
        <f t="shared" si="9"/>
        <v>-2.5873990829306415</v>
      </c>
      <c r="HX62" s="73">
        <f t="shared" si="10"/>
        <v>2.2459249748862931E-6</v>
      </c>
      <c r="HY62" s="30">
        <f t="shared" si="54"/>
        <v>0.17322865519013675</v>
      </c>
      <c r="HZ62" s="74">
        <f t="shared" si="55"/>
        <v>-3.0624044811133899E-7</v>
      </c>
    </row>
    <row r="63" spans="7:234" ht="15" customHeight="1">
      <c r="G63" s="30" t="s">
        <v>249</v>
      </c>
      <c r="O63" s="30" t="s">
        <v>246</v>
      </c>
      <c r="T63" s="30" t="s">
        <v>248</v>
      </c>
      <c r="AA63" s="30" t="s">
        <v>256</v>
      </c>
      <c r="FT63" s="29">
        <v>2500</v>
      </c>
      <c r="FU63" s="27">
        <f t="shared" si="12"/>
        <v>15707.963267948966</v>
      </c>
      <c r="FV63" s="30">
        <f t="shared" si="13"/>
        <v>490.26077193157846</v>
      </c>
      <c r="FW63" s="30">
        <f t="shared" si="14"/>
        <v>17.828218149135242</v>
      </c>
      <c r="FX63" s="34">
        <f t="shared" si="15"/>
        <v>490.5848243243164</v>
      </c>
      <c r="FY63" s="30">
        <f t="shared" si="16"/>
        <v>0.32415948875623518</v>
      </c>
      <c r="FZ63" s="30">
        <f t="shared" si="17"/>
        <v>-8.9141090745676212</v>
      </c>
      <c r="GA63" s="34">
        <f t="shared" si="18"/>
        <v>8.9200011192510242</v>
      </c>
      <c r="GB63" s="34">
        <f t="shared" si="19"/>
        <v>154.55851884846945</v>
      </c>
      <c r="GC63" s="34">
        <f t="shared" si="20"/>
        <v>262.38669089808837</v>
      </c>
      <c r="GD63" s="34">
        <f t="shared" si="21"/>
        <v>304.52440182862466</v>
      </c>
      <c r="GE63" s="55">
        <f t="shared" si="22"/>
        <v>222.72074057576529</v>
      </c>
      <c r="GF63" s="55">
        <f t="shared" si="23"/>
        <v>-131.19334544904419</v>
      </c>
      <c r="GG63" s="34">
        <f t="shared" si="24"/>
        <v>258.48834049668386</v>
      </c>
      <c r="GH63" s="30">
        <f t="shared" si="25"/>
        <v>121.53628247876567</v>
      </c>
      <c r="GI63" s="30">
        <f t="shared" si="58"/>
        <v>-22.247856532260997</v>
      </c>
      <c r="GJ63" s="34">
        <f t="shared" si="26"/>
        <v>123.55579743192301</v>
      </c>
      <c r="GK63" s="34">
        <f t="shared" si="27"/>
        <v>222.72074057576529</v>
      </c>
      <c r="GL63" s="34">
        <f t="shared" si="28"/>
        <v>-640.48916334310923</v>
      </c>
      <c r="GM63" s="34">
        <f t="shared" si="29"/>
        <v>678.10832220418399</v>
      </c>
      <c r="GN63" s="55">
        <f t="shared" si="59"/>
        <v>754.55851884846948</v>
      </c>
      <c r="GO63" s="55">
        <f t="shared" si="60"/>
        <v>262.38669089808837</v>
      </c>
      <c r="GP63" s="34">
        <f t="shared" si="30"/>
        <v>798.87754626553692</v>
      </c>
      <c r="GQ63" s="55">
        <f t="shared" si="31"/>
        <v>445.44148115153058</v>
      </c>
      <c r="GR63" s="55">
        <f t="shared" si="32"/>
        <v>-262.38669089808832</v>
      </c>
      <c r="GS63" s="34">
        <f t="shared" si="33"/>
        <v>516.97668099336772</v>
      </c>
      <c r="GT63" s="56">
        <f t="shared" si="34"/>
        <v>1090.2607719315786</v>
      </c>
      <c r="GU63" s="56">
        <f t="shared" si="35"/>
        <v>17.828218149135296</v>
      </c>
      <c r="GV63" s="34">
        <f t="shared" si="36"/>
        <v>1090.4065279404808</v>
      </c>
      <c r="GW63" s="30">
        <f t="shared" si="37"/>
        <v>109.73922950678394</v>
      </c>
      <c r="GX63" s="30">
        <f t="shared" si="3"/>
        <v>-17.828218091575746</v>
      </c>
      <c r="GY63" s="34">
        <f t="shared" si="38"/>
        <v>111.17798277115568</v>
      </c>
      <c r="GZ63" s="34">
        <f t="shared" si="61"/>
        <v>600.00000143836246</v>
      </c>
      <c r="HA63" s="34">
        <f t="shared" si="62"/>
        <v>5.7559496724479686E-8</v>
      </c>
      <c r="HB63" s="34">
        <f t="shared" si="39"/>
        <v>600.00000143836246</v>
      </c>
      <c r="HC63" s="33">
        <f t="shared" si="63"/>
        <v>0.18289871540333166</v>
      </c>
      <c r="HD63" s="33">
        <f t="shared" si="64"/>
        <v>-2.9713696765607062E-2</v>
      </c>
      <c r="HE63" s="33">
        <f t="shared" si="40"/>
        <v>0.18529663750771994</v>
      </c>
      <c r="HF63" s="33">
        <f t="shared" si="65"/>
        <v>0.10035987948023678</v>
      </c>
      <c r="HG63" s="33">
        <f t="shared" si="66"/>
        <v>-1.7993361211559717E-2</v>
      </c>
      <c r="HH63" s="33">
        <f t="shared" si="42"/>
        <v>0.1019601218956574</v>
      </c>
      <c r="HI63" s="30">
        <f t="shared" si="56"/>
        <v>6.6638724762384333E-2</v>
      </c>
      <c r="HJ63" s="30">
        <f t="shared" si="43"/>
        <v>-5.7246810241203254E-2</v>
      </c>
      <c r="HK63" s="33">
        <f t="shared" si="44"/>
        <v>8.785167568549361E-2</v>
      </c>
      <c r="HL63" s="61">
        <f t="shared" si="45"/>
        <v>3.3151101512117982E-2</v>
      </c>
      <c r="HM63" s="61">
        <f t="shared" si="46"/>
        <v>-5.7048582574889463E-2</v>
      </c>
      <c r="HN63" s="33">
        <f t="shared" si="47"/>
        <v>6.5981333006167223E-2</v>
      </c>
      <c r="HO63" s="30">
        <f t="shared" si="48"/>
        <v>-19.8313930798695</v>
      </c>
      <c r="HP63" s="30">
        <f t="shared" si="49"/>
        <v>3.7801853044543421</v>
      </c>
      <c r="HQ63" s="29">
        <v>2500</v>
      </c>
      <c r="HR63" s="30">
        <v>15707.963267948966</v>
      </c>
      <c r="HS63" s="30">
        <f t="shared" si="50"/>
        <v>-23.611578384323842</v>
      </c>
      <c r="HT63" s="30">
        <f t="shared" si="51"/>
        <v>-23.611578294948128</v>
      </c>
      <c r="HU63" s="30">
        <f t="shared" si="52"/>
        <v>8.9375713940853529E-8</v>
      </c>
      <c r="HV63" s="30">
        <f t="shared" si="53"/>
        <v>-3.698941371323702</v>
      </c>
      <c r="HW63" s="30">
        <f t="shared" si="9"/>
        <v>-3.6989410184794274</v>
      </c>
      <c r="HX63" s="73">
        <f t="shared" si="10"/>
        <v>1.4383624602487544E-6</v>
      </c>
      <c r="HY63" s="30">
        <f t="shared" si="54"/>
        <v>8.1243843754926104E-2</v>
      </c>
      <c r="HZ63" s="74">
        <f t="shared" si="55"/>
        <v>-3.5284427468695867E-7</v>
      </c>
    </row>
    <row r="64" spans="7:234" ht="15" customHeight="1">
      <c r="G64" s="30" t="s">
        <v>250</v>
      </c>
      <c r="O64" s="30" t="s">
        <v>247</v>
      </c>
      <c r="T64" s="30" t="s">
        <v>251</v>
      </c>
      <c r="FT64" s="29">
        <v>3000</v>
      </c>
      <c r="FU64" s="27">
        <f t="shared" si="12"/>
        <v>18849.555921538758</v>
      </c>
      <c r="FV64" s="30">
        <f t="shared" si="13"/>
        <v>490.4586876448563</v>
      </c>
      <c r="FW64" s="30">
        <f t="shared" si="14"/>
        <v>14.86284608974624</v>
      </c>
      <c r="FX64" s="34">
        <f t="shared" si="15"/>
        <v>490.68383759830749</v>
      </c>
      <c r="FY64" s="30">
        <f t="shared" si="16"/>
        <v>0.22520163211732427</v>
      </c>
      <c r="FZ64" s="30">
        <f t="shared" si="17"/>
        <v>-7.43142304487312</v>
      </c>
      <c r="GA64" s="34">
        <f t="shared" si="18"/>
        <v>7.4348345137588359</v>
      </c>
      <c r="GB64" s="34">
        <f t="shared" si="19"/>
        <v>199.90630413922688</v>
      </c>
      <c r="GC64" s="34">
        <f t="shared" si="20"/>
        <v>282.80956852435361</v>
      </c>
      <c r="GD64" s="34">
        <f t="shared" si="21"/>
        <v>346.32900901243625</v>
      </c>
      <c r="GE64" s="55">
        <f t="shared" si="22"/>
        <v>200.04684793038655</v>
      </c>
      <c r="GF64" s="55">
        <f t="shared" si="23"/>
        <v>-141.4047842621768</v>
      </c>
      <c r="GG64" s="34">
        <f t="shared" si="24"/>
        <v>244.97766097976356</v>
      </c>
      <c r="GH64" s="30">
        <f t="shared" si="25"/>
        <v>121.43732407888312</v>
      </c>
      <c r="GI64" s="30">
        <f t="shared" si="58"/>
        <v>-18.542879259617656</v>
      </c>
      <c r="GJ64" s="34">
        <f t="shared" si="26"/>
        <v>122.84486985900732</v>
      </c>
      <c r="GK64" s="34">
        <f t="shared" si="27"/>
        <v>200.04684793038655</v>
      </c>
      <c r="GL64" s="34">
        <f t="shared" si="28"/>
        <v>-565.8179658405644</v>
      </c>
      <c r="GM64" s="34">
        <f t="shared" si="29"/>
        <v>600.14057672751755</v>
      </c>
      <c r="GN64" s="55">
        <f t="shared" si="59"/>
        <v>799.9063041392269</v>
      </c>
      <c r="GO64" s="55">
        <f t="shared" si="60"/>
        <v>282.80956852435361</v>
      </c>
      <c r="GP64" s="34">
        <f t="shared" si="30"/>
        <v>848.42875213573973</v>
      </c>
      <c r="GQ64" s="55">
        <f t="shared" si="31"/>
        <v>400.09369586077315</v>
      </c>
      <c r="GR64" s="55">
        <f t="shared" si="32"/>
        <v>-282.80956852435366</v>
      </c>
      <c r="GS64" s="34">
        <f t="shared" si="33"/>
        <v>489.95532195952717</v>
      </c>
      <c r="GT64" s="56">
        <f t="shared" si="34"/>
        <v>1090.4586876448564</v>
      </c>
      <c r="GU64" s="56">
        <f t="shared" si="35"/>
        <v>14.862846089746199</v>
      </c>
      <c r="GV64" s="34">
        <f t="shared" si="36"/>
        <v>1090.5599725159684</v>
      </c>
      <c r="GW64" s="30">
        <f t="shared" si="37"/>
        <v>109.54131335437278</v>
      </c>
      <c r="GX64" s="30">
        <f t="shared" si="3"/>
        <v>-14.862846056428204</v>
      </c>
      <c r="GY64" s="34">
        <f t="shared" si="38"/>
        <v>110.54502939661272</v>
      </c>
      <c r="GZ64" s="34">
        <f t="shared" si="61"/>
        <v>600.00000099922909</v>
      </c>
      <c r="HA64" s="34">
        <f t="shared" si="62"/>
        <v>3.3318036329887946E-8</v>
      </c>
      <c r="HB64" s="34">
        <f t="shared" si="39"/>
        <v>600.00000099922909</v>
      </c>
      <c r="HC64" s="33">
        <f t="shared" si="63"/>
        <v>0.18256885528519887</v>
      </c>
      <c r="HD64" s="33">
        <f t="shared" si="64"/>
        <v>-2.4771410062931213E-2</v>
      </c>
      <c r="HE64" s="33">
        <f t="shared" si="40"/>
        <v>0.18424171535418837</v>
      </c>
      <c r="HF64" s="33">
        <f t="shared" si="65"/>
        <v>0.10024994684491785</v>
      </c>
      <c r="HG64" s="33">
        <f t="shared" si="66"/>
        <v>-1.4996299954781807E-2</v>
      </c>
      <c r="HH64" s="33">
        <f t="shared" si="42"/>
        <v>0.10136538292110697</v>
      </c>
      <c r="HI64" s="30">
        <f t="shared" si="56"/>
        <v>5.9780457705592691E-2</v>
      </c>
      <c r="HJ64" s="30">
        <f t="shared" si="43"/>
        <v>-5.725261547491E-2</v>
      </c>
      <c r="HK64" s="33">
        <f t="shared" si="44"/>
        <v>8.2774181374436193E-2</v>
      </c>
      <c r="HL64" s="61">
        <f t="shared" si="45"/>
        <v>2.6362156315387835E-2</v>
      </c>
      <c r="HM64" s="61">
        <f t="shared" si="46"/>
        <v>-5.2264920430725489E-2</v>
      </c>
      <c r="HN64" s="33">
        <f t="shared" si="47"/>
        <v>5.8537041206632653E-2</v>
      </c>
      <c r="HO64" s="30">
        <f t="shared" si="48"/>
        <v>-19.882206693577647</v>
      </c>
      <c r="HP64" s="30">
        <f t="shared" si="49"/>
        <v>4.7691780303764304</v>
      </c>
      <c r="HQ64" s="29">
        <v>3000</v>
      </c>
      <c r="HR64" s="30">
        <v>18849.555921538758</v>
      </c>
      <c r="HS64" s="30">
        <f t="shared" si="50"/>
        <v>-24.651384723954077</v>
      </c>
      <c r="HT64" s="30">
        <f t="shared" si="51"/>
        <v>-24.651384660971512</v>
      </c>
      <c r="HU64" s="30">
        <f t="shared" si="52"/>
        <v>6.2982564941194141E-8</v>
      </c>
      <c r="HV64" s="30">
        <f t="shared" si="53"/>
        <v>-4.7387477373470865</v>
      </c>
      <c r="HW64" s="30">
        <f t="shared" si="9"/>
        <v>-4.7387473581096629</v>
      </c>
      <c r="HX64" s="73">
        <f t="shared" si="10"/>
        <v>9.9922908702865243E-7</v>
      </c>
      <c r="HY64" s="30">
        <f t="shared" si="54"/>
        <v>3.0430230046778917E-2</v>
      </c>
      <c r="HZ64" s="74">
        <f t="shared" si="55"/>
        <v>-3.7923742368661806E-7</v>
      </c>
    </row>
    <row r="65" spans="5:234" ht="15" customHeight="1">
      <c r="G65" s="30" t="s">
        <v>252</v>
      </c>
      <c r="I65" s="30" t="s">
        <v>253</v>
      </c>
      <c r="O65" s="104">
        <v>10</v>
      </c>
      <c r="P65" s="104"/>
      <c r="FT65" s="29">
        <v>4000</v>
      </c>
      <c r="FU65" s="27">
        <f t="shared" si="12"/>
        <v>25132.741228718343</v>
      </c>
      <c r="FV65" s="30">
        <f t="shared" si="13"/>
        <v>490.65563733642693</v>
      </c>
      <c r="FW65" s="30">
        <f t="shared" si="14"/>
        <v>11.151610835689127</v>
      </c>
      <c r="FX65" s="34">
        <f t="shared" si="15"/>
        <v>490.78234776145518</v>
      </c>
      <c r="FY65" s="30">
        <f t="shared" si="16"/>
        <v>0.12672678633201001</v>
      </c>
      <c r="FZ65" s="30">
        <f t="shared" si="17"/>
        <v>-5.5758054178445633</v>
      </c>
      <c r="GA65" s="34">
        <f t="shared" si="18"/>
        <v>5.5772453537601177</v>
      </c>
      <c r="GB65" s="34">
        <f t="shared" si="19"/>
        <v>282.2478879335672</v>
      </c>
      <c r="GC65" s="34">
        <f t="shared" si="20"/>
        <v>299.47431027916372</v>
      </c>
      <c r="GD65" s="34">
        <f t="shared" si="21"/>
        <v>411.52002716774348</v>
      </c>
      <c r="GE65" s="55">
        <f t="shared" si="22"/>
        <v>158.87605603321637</v>
      </c>
      <c r="GF65" s="55">
        <f t="shared" si="23"/>
        <v>-149.73715513958186</v>
      </c>
      <c r="GG65" s="34">
        <f t="shared" si="24"/>
        <v>218.31815501685819</v>
      </c>
      <c r="GH65" s="30">
        <f t="shared" si="25"/>
        <v>121.33884869294081</v>
      </c>
      <c r="GI65" s="30">
        <f t="shared" si="58"/>
        <v>-13.909397578903013</v>
      </c>
      <c r="GJ65" s="34">
        <f t="shared" si="26"/>
        <v>122.13348248181732</v>
      </c>
      <c r="GK65" s="34">
        <f t="shared" si="27"/>
        <v>158.87605603321637</v>
      </c>
      <c r="GL65" s="34">
        <f t="shared" si="28"/>
        <v>-468.04704132337258</v>
      </c>
      <c r="GM65" s="34">
        <f t="shared" si="29"/>
        <v>494.27687996934731</v>
      </c>
      <c r="GN65" s="55">
        <f t="shared" si="59"/>
        <v>882.2478879335672</v>
      </c>
      <c r="GO65" s="55">
        <f t="shared" si="60"/>
        <v>299.47431027916372</v>
      </c>
      <c r="GP65" s="34">
        <f t="shared" si="30"/>
        <v>931.68996897059105</v>
      </c>
      <c r="GQ65" s="55">
        <f t="shared" si="31"/>
        <v>317.7521120664328</v>
      </c>
      <c r="GR65" s="55">
        <f t="shared" si="32"/>
        <v>-299.47431027916372</v>
      </c>
      <c r="GS65" s="34">
        <f t="shared" si="33"/>
        <v>436.63631003371637</v>
      </c>
      <c r="GT65" s="56">
        <f t="shared" si="34"/>
        <v>1090.6556373364269</v>
      </c>
      <c r="GU65" s="56">
        <f t="shared" si="35"/>
        <v>11.151610835689155</v>
      </c>
      <c r="GV65" s="34">
        <f t="shared" si="36"/>
        <v>1090.7126467030437</v>
      </c>
      <c r="GW65" s="30">
        <f t="shared" si="37"/>
        <v>109.34436322584442</v>
      </c>
      <c r="GX65" s="30">
        <f t="shared" si="3"/>
        <v>-11.151610821629664</v>
      </c>
      <c r="GY65" s="34">
        <f t="shared" si="38"/>
        <v>109.91154713305825</v>
      </c>
      <c r="GZ65" s="34">
        <f t="shared" si="61"/>
        <v>600.00000056227134</v>
      </c>
      <c r="HA65" s="34">
        <f t="shared" si="62"/>
        <v>1.4059462927207278E-8</v>
      </c>
      <c r="HB65" s="34">
        <f t="shared" si="39"/>
        <v>600.00000056227134</v>
      </c>
      <c r="HC65" s="33">
        <f t="shared" si="63"/>
        <v>0.18224060520519075</v>
      </c>
      <c r="HD65" s="33">
        <f t="shared" si="64"/>
        <v>-1.8586018022902471E-2</v>
      </c>
      <c r="HE65" s="33">
        <f t="shared" si="40"/>
        <v>0.18318591171676343</v>
      </c>
      <c r="HF65" s="33">
        <f t="shared" si="65"/>
        <v>0.10014061218512429</v>
      </c>
      <c r="HG65" s="33">
        <f t="shared" si="66"/>
        <v>-1.1248591699978831E-2</v>
      </c>
      <c r="HH65" s="33">
        <f t="shared" si="42"/>
        <v>0.10077039755823283</v>
      </c>
      <c r="HI65" s="30">
        <f t="shared" si="56"/>
        <v>4.7418711307476193E-2</v>
      </c>
      <c r="HJ65" s="30">
        <f t="shared" si="43"/>
        <v>-5.593967422585755E-2</v>
      </c>
      <c r="HK65" s="33">
        <f t="shared" si="44"/>
        <v>7.3333357584095676E-2</v>
      </c>
      <c r="HL65" s="61">
        <f t="shared" si="45"/>
        <v>1.7337254118417151E-2</v>
      </c>
      <c r="HM65" s="61">
        <f t="shared" si="46"/>
        <v>-4.3928545803082038E-2</v>
      </c>
      <c r="HN65" s="33">
        <f t="shared" si="47"/>
        <v>4.7226025841055577E-2</v>
      </c>
      <c r="HO65" s="30">
        <f t="shared" si="48"/>
        <v>-19.933340561232299</v>
      </c>
      <c r="HP65" s="30">
        <f t="shared" si="49"/>
        <v>6.583031466391251</v>
      </c>
      <c r="HQ65" s="29">
        <v>4000</v>
      </c>
      <c r="HR65" s="30">
        <v>25132.741228718343</v>
      </c>
      <c r="HS65" s="30">
        <f t="shared" si="50"/>
        <v>-26.51637202762355</v>
      </c>
      <c r="HT65" s="30">
        <f t="shared" si="51"/>
        <v>-26.516371991671136</v>
      </c>
      <c r="HU65" s="30">
        <f t="shared" si="52"/>
        <v>3.5952414378925823E-8</v>
      </c>
      <c r="HV65" s="30">
        <f t="shared" si="53"/>
        <v>-6.60373506804671</v>
      </c>
      <c r="HW65" s="30">
        <f t="shared" si="9"/>
        <v>-6.6037346617791357</v>
      </c>
      <c r="HX65" s="73">
        <f t="shared" si="10"/>
        <v>5.6227133882202907E-7</v>
      </c>
      <c r="HY65" s="30">
        <f t="shared" si="54"/>
        <v>-2.0703637607873304E-2</v>
      </c>
      <c r="HZ65" s="74">
        <f t="shared" si="55"/>
        <v>-4.0626757424888638E-7</v>
      </c>
    </row>
    <row r="66" spans="5:234" ht="15" customHeight="1">
      <c r="FT66" s="29">
        <v>5000</v>
      </c>
      <c r="FU66" s="27">
        <f t="shared" si="12"/>
        <v>31415.926535897932</v>
      </c>
      <c r="FV66" s="30">
        <f t="shared" si="13"/>
        <v>490.74685046761164</v>
      </c>
      <c r="FW66" s="30">
        <f t="shared" si="14"/>
        <v>8.9229471406277199</v>
      </c>
      <c r="FX66" s="34">
        <f t="shared" si="15"/>
        <v>490.82796398489239</v>
      </c>
      <c r="FY66" s="30">
        <f t="shared" si="16"/>
        <v>8.1120220739645005E-2</v>
      </c>
      <c r="FZ66" s="30">
        <f t="shared" si="17"/>
        <v>-4.4614735703138599</v>
      </c>
      <c r="GA66" s="34">
        <f t="shared" si="18"/>
        <v>4.462210988828514</v>
      </c>
      <c r="GB66" s="34">
        <f t="shared" si="19"/>
        <v>348.73457696166514</v>
      </c>
      <c r="GC66" s="34">
        <f t="shared" si="20"/>
        <v>296.01510266938669</v>
      </c>
      <c r="GD66" s="34">
        <f t="shared" si="21"/>
        <v>457.42840552046948</v>
      </c>
      <c r="GE66" s="55">
        <f t="shared" si="22"/>
        <v>125.63271151916746</v>
      </c>
      <c r="GF66" s="55">
        <f t="shared" si="23"/>
        <v>-148.00755133469335</v>
      </c>
      <c r="GG66" s="34">
        <f t="shared" si="24"/>
        <v>194.1386449312713</v>
      </c>
      <c r="GH66" s="30">
        <f t="shared" si="25"/>
        <v>121.29324187733292</v>
      </c>
      <c r="GI66" s="30">
        <f t="shared" si="58"/>
        <v>-11.128347299160637</v>
      </c>
      <c r="GJ66" s="34">
        <f t="shared" si="26"/>
        <v>121.80267090143764</v>
      </c>
      <c r="GK66" s="34">
        <f t="shared" si="27"/>
        <v>125.63271151916746</v>
      </c>
      <c r="GL66" s="34">
        <f t="shared" si="28"/>
        <v>-402.65546028172588</v>
      </c>
      <c r="GM66" s="34">
        <f t="shared" si="29"/>
        <v>421.79971301358995</v>
      </c>
      <c r="GN66" s="55">
        <f t="shared" si="59"/>
        <v>948.7345769616652</v>
      </c>
      <c r="GO66" s="55">
        <f t="shared" si="60"/>
        <v>296.01510266938669</v>
      </c>
      <c r="GP66" s="34">
        <f t="shared" si="30"/>
        <v>993.84215976733321</v>
      </c>
      <c r="GQ66" s="55">
        <f t="shared" si="31"/>
        <v>251.26542303833483</v>
      </c>
      <c r="GR66" s="55">
        <f t="shared" si="32"/>
        <v>-296.01510266938664</v>
      </c>
      <c r="GS66" s="34">
        <f t="shared" si="33"/>
        <v>388.27728986254255</v>
      </c>
      <c r="GT66" s="56">
        <f t="shared" si="34"/>
        <v>1090.7468504676117</v>
      </c>
      <c r="GU66" s="56">
        <f t="shared" si="35"/>
        <v>8.922947140627798</v>
      </c>
      <c r="GV66" s="34">
        <f t="shared" si="36"/>
        <v>1090.7833473200299</v>
      </c>
      <c r="GW66" s="30">
        <f t="shared" si="37"/>
        <v>109.25314989230274</v>
      </c>
      <c r="GX66" s="30">
        <f t="shared" si="3"/>
        <v>-8.9229471334284653</v>
      </c>
      <c r="GY66" s="34">
        <f t="shared" si="38"/>
        <v>109.61692272152111</v>
      </c>
      <c r="GZ66" s="34">
        <f t="shared" si="61"/>
        <v>600.00000035991434</v>
      </c>
      <c r="HA66" s="34">
        <f t="shared" si="62"/>
        <v>7.1992545258581231E-9</v>
      </c>
      <c r="HB66" s="34">
        <f t="shared" si="39"/>
        <v>600.00000035991434</v>
      </c>
      <c r="HC66" s="33">
        <f t="shared" si="63"/>
        <v>0.18208858304443229</v>
      </c>
      <c r="HD66" s="33">
        <f t="shared" si="64"/>
        <v>-1.487157854897812E-2</v>
      </c>
      <c r="HE66" s="33">
        <f t="shared" si="40"/>
        <v>0.1826948710929443</v>
      </c>
      <c r="HF66" s="33">
        <f t="shared" si="65"/>
        <v>0.10008999686040235</v>
      </c>
      <c r="HG66" s="33">
        <f t="shared" si="66"/>
        <v>-8.9993795319872963E-3</v>
      </c>
      <c r="HH66" s="33">
        <f t="shared" si="42"/>
        <v>0.10049376251029764</v>
      </c>
      <c r="HI66" s="30">
        <f t="shared" si="56"/>
        <v>3.7475338578187668E-2</v>
      </c>
      <c r="HJ66" s="30">
        <f t="shared" si="43"/>
        <v>-5.3148972669996512E-2</v>
      </c>
      <c r="HK66" s="33">
        <f t="shared" si="44"/>
        <v>6.5032409592647236E-2</v>
      </c>
      <c r="HL66" s="61">
        <f t="shared" si="45"/>
        <v>1.2040581927326054E-2</v>
      </c>
      <c r="HM66" s="61">
        <f t="shared" si="46"/>
        <v>-3.7369332327862478E-2</v>
      </c>
      <c r="HN66" s="33">
        <f t="shared" si="47"/>
        <v>3.9261210014196947E-2</v>
      </c>
      <c r="HO66" s="30">
        <f t="shared" si="48"/>
        <v>-19.957217867641138</v>
      </c>
      <c r="HP66" s="30">
        <f t="shared" si="49"/>
        <v>8.1635085506081282</v>
      </c>
      <c r="HQ66" s="29">
        <v>5000</v>
      </c>
      <c r="HR66" s="30">
        <v>31415.926535897932</v>
      </c>
      <c r="HS66" s="30">
        <f t="shared" si="50"/>
        <v>-28.120726418249266</v>
      </c>
      <c r="HT66" s="30">
        <f t="shared" si="51"/>
        <v>-28.12072639508154</v>
      </c>
      <c r="HU66" s="30">
        <f t="shared" si="52"/>
        <v>2.3167725515804705E-8</v>
      </c>
      <c r="HV66" s="30">
        <f t="shared" si="53"/>
        <v>-8.2080894714571144</v>
      </c>
      <c r="HW66" s="30">
        <f t="shared" si="9"/>
        <v>-8.2080890524048513</v>
      </c>
      <c r="HX66" s="73">
        <f t="shared" si="10"/>
        <v>3.5991433833260089E-7</v>
      </c>
      <c r="HY66" s="30">
        <f t="shared" si="54"/>
        <v>-4.4580944016711754E-2</v>
      </c>
      <c r="HZ66" s="74">
        <f t="shared" si="55"/>
        <v>-4.1905226311200749E-7</v>
      </c>
    </row>
    <row r="67" spans="5:234" ht="15" customHeight="1">
      <c r="G67" s="30" t="s">
        <v>254</v>
      </c>
      <c r="I67" s="167">
        <f>AJ34*(O65-1)/(O65+1)</f>
        <v>490.90909090909093</v>
      </c>
      <c r="J67" s="167"/>
      <c r="K67" s="167"/>
      <c r="L67" s="167"/>
      <c r="FT67" s="29">
        <v>6000</v>
      </c>
      <c r="FU67" s="27">
        <f t="shared" si="12"/>
        <v>37699.111843077517</v>
      </c>
      <c r="FV67" s="30">
        <f t="shared" si="13"/>
        <v>490.79641255724448</v>
      </c>
      <c r="FW67" s="30">
        <f t="shared" si="14"/>
        <v>7.4365402479321601</v>
      </c>
      <c r="FX67" s="34">
        <f t="shared" si="15"/>
        <v>490.85274849991418</v>
      </c>
      <c r="FY67" s="30">
        <f t="shared" si="16"/>
        <v>5.633917592323958E-2</v>
      </c>
      <c r="FZ67" s="30">
        <f t="shared" si="17"/>
        <v>-3.71827012396608</v>
      </c>
      <c r="GA67" s="34">
        <f t="shared" si="18"/>
        <v>3.7186969246662787</v>
      </c>
      <c r="GB67" s="34">
        <f t="shared" si="19"/>
        <v>399.90628218679888</v>
      </c>
      <c r="GC67" s="34">
        <f t="shared" si="20"/>
        <v>282.87582926013965</v>
      </c>
      <c r="GD67" s="34">
        <f t="shared" si="21"/>
        <v>489.8405549891508</v>
      </c>
      <c r="GE67" s="55">
        <f t="shared" si="22"/>
        <v>100.04685890660052</v>
      </c>
      <c r="GF67" s="55">
        <f t="shared" si="23"/>
        <v>-141.43791463006983</v>
      </c>
      <c r="GG67" s="34">
        <f t="shared" si="24"/>
        <v>173.24565700755721</v>
      </c>
      <c r="GH67" s="30">
        <f t="shared" si="25"/>
        <v>121.2684606967056</v>
      </c>
      <c r="GI67" s="30">
        <f t="shared" si="58"/>
        <v>-9.2739982313383997</v>
      </c>
      <c r="GJ67" s="34">
        <f t="shared" si="26"/>
        <v>121.62255795264009</v>
      </c>
      <c r="GK67" s="34">
        <f t="shared" si="27"/>
        <v>100.04685890660052</v>
      </c>
      <c r="GL67" s="34">
        <f t="shared" si="28"/>
        <v>-353.64450541926362</v>
      </c>
      <c r="GM67" s="34">
        <f t="shared" si="29"/>
        <v>367.5238906388438</v>
      </c>
      <c r="GN67" s="55">
        <f t="shared" si="59"/>
        <v>999.90628218679888</v>
      </c>
      <c r="GO67" s="55">
        <f t="shared" si="60"/>
        <v>282.87582926013965</v>
      </c>
      <c r="GP67" s="34">
        <f t="shared" si="30"/>
        <v>1039.149319364757</v>
      </c>
      <c r="GQ67" s="55">
        <f t="shared" si="31"/>
        <v>200.09371781320107</v>
      </c>
      <c r="GR67" s="55">
        <f t="shared" si="32"/>
        <v>-282.87582926013965</v>
      </c>
      <c r="GS67" s="34">
        <f t="shared" si="33"/>
        <v>346.49131401511443</v>
      </c>
      <c r="GT67" s="56">
        <f t="shared" si="34"/>
        <v>1090.7964125572444</v>
      </c>
      <c r="GU67" s="56">
        <f t="shared" si="35"/>
        <v>7.4365402479321574</v>
      </c>
      <c r="GV67" s="34">
        <f t="shared" si="36"/>
        <v>1090.8217616909799</v>
      </c>
      <c r="GW67" s="30">
        <f t="shared" si="37"/>
        <v>109.203587692719</v>
      </c>
      <c r="GX67" s="30">
        <f t="shared" si="3"/>
        <v>-7.4365402437656698</v>
      </c>
      <c r="GY67" s="34">
        <f t="shared" si="38"/>
        <v>109.4565013864344</v>
      </c>
      <c r="GZ67" s="34">
        <f t="shared" si="61"/>
        <v>600.00000024996348</v>
      </c>
      <c r="HA67" s="34">
        <f t="shared" si="62"/>
        <v>4.1664902639126922E-9</v>
      </c>
      <c r="HB67" s="34">
        <f t="shared" si="39"/>
        <v>600.00000024996348</v>
      </c>
      <c r="HC67" s="33">
        <f t="shared" si="63"/>
        <v>0.18200597941195418</v>
      </c>
      <c r="HD67" s="33">
        <f t="shared" si="64"/>
        <v>-1.2394233735709817E-2</v>
      </c>
      <c r="HE67" s="33">
        <f t="shared" si="40"/>
        <v>0.18242750223472362</v>
      </c>
      <c r="HF67" s="33">
        <f t="shared" si="65"/>
        <v>0.10006249972939409</v>
      </c>
      <c r="HG67" s="33">
        <f t="shared" si="66"/>
        <v>-7.4997120945728387E-3</v>
      </c>
      <c r="HH67" s="33">
        <f t="shared" si="42"/>
        <v>0.10034315887790494</v>
      </c>
      <c r="HI67" s="30">
        <f t="shared" si="56"/>
        <v>2.9833983844287166E-2</v>
      </c>
      <c r="HJ67" s="30">
        <f t="shared" si="43"/>
        <v>-4.9676513107210933E-2</v>
      </c>
      <c r="HK67" s="33">
        <f t="shared" si="44"/>
        <v>5.7946721620054459E-2</v>
      </c>
      <c r="HL67" s="61">
        <f t="shared" si="45"/>
        <v>8.7674266782082014E-3</v>
      </c>
      <c r="HM67" s="61">
        <f t="shared" si="46"/>
        <v>-3.2289027013404262E-2</v>
      </c>
      <c r="HN67" s="33">
        <f t="shared" si="47"/>
        <v>3.345816845002289E-2</v>
      </c>
      <c r="HO67" s="30">
        <f t="shared" si="48"/>
        <v>-19.970244623540484</v>
      </c>
      <c r="HP67" s="30">
        <f t="shared" si="49"/>
        <v>9.5397121256036392</v>
      </c>
      <c r="HQ67" s="29">
        <v>6000</v>
      </c>
      <c r="HR67" s="30">
        <v>37699.111843077517</v>
      </c>
      <c r="HS67" s="30">
        <f t="shared" si="50"/>
        <v>-29.509956749144123</v>
      </c>
      <c r="HT67" s="30">
        <f t="shared" si="51"/>
        <v>-29.509956732995235</v>
      </c>
      <c r="HU67" s="30">
        <f t="shared" si="52"/>
        <v>1.6148888448697107E-8</v>
      </c>
      <c r="HV67" s="30">
        <f t="shared" si="53"/>
        <v>-9.5973198093708092</v>
      </c>
      <c r="HW67" s="30">
        <f t="shared" si="9"/>
        <v>-9.597319383299709</v>
      </c>
      <c r="HX67" s="73">
        <f t="shared" si="10"/>
        <v>2.4996347747219261E-7</v>
      </c>
      <c r="HY67" s="30">
        <f t="shared" si="54"/>
        <v>-5.7607699916058408E-2</v>
      </c>
      <c r="HZ67" s="74">
        <f t="shared" si="55"/>
        <v>-4.2607110017911509E-7</v>
      </c>
    </row>
    <row r="68" spans="5:234" ht="15" customHeight="1">
      <c r="G68" s="30" t="s">
        <v>255</v>
      </c>
      <c r="I68" s="167">
        <f>AJ34*2*O65/(O65^2-1)</f>
        <v>121.21212121212122</v>
      </c>
      <c r="J68" s="167"/>
      <c r="K68" s="167"/>
      <c r="L68" s="167"/>
      <c r="FT68" s="29">
        <v>7000</v>
      </c>
      <c r="FU68" s="27">
        <f t="shared" si="12"/>
        <v>43982.297150257102</v>
      </c>
      <c r="FV68" s="30">
        <f t="shared" si="13"/>
        <v>490.8263017723537</v>
      </c>
      <c r="FW68" s="30">
        <f t="shared" si="14"/>
        <v>6.3745655390515692</v>
      </c>
      <c r="FX68" s="34">
        <f t="shared" si="15"/>
        <v>490.86769459533315</v>
      </c>
      <c r="FY68" s="30">
        <f t="shared" si="16"/>
        <v>4.139456836861858E-2</v>
      </c>
      <c r="FZ68" s="30">
        <f t="shared" si="17"/>
        <v>-3.1872827695257846</v>
      </c>
      <c r="GA68" s="34">
        <f t="shared" si="18"/>
        <v>3.1875515624388537</v>
      </c>
      <c r="GB68" s="34">
        <f t="shared" si="19"/>
        <v>438.72310472020774</v>
      </c>
      <c r="GC68" s="34">
        <f t="shared" si="20"/>
        <v>265.9998124375021</v>
      </c>
      <c r="GD68" s="34">
        <f t="shared" si="21"/>
        <v>513.0632152397252</v>
      </c>
      <c r="GE68" s="55">
        <f t="shared" si="22"/>
        <v>80.638447639896171</v>
      </c>
      <c r="GF68" s="55">
        <f t="shared" si="23"/>
        <v>-132.99990621875105</v>
      </c>
      <c r="GG68" s="34">
        <f t="shared" si="24"/>
        <v>155.53627966480633</v>
      </c>
      <c r="GH68" s="30">
        <f t="shared" si="25"/>
        <v>121.2535160072613</v>
      </c>
      <c r="GI68" s="30">
        <f t="shared" si="58"/>
        <v>-7.9493354329877786</v>
      </c>
      <c r="GJ68" s="34">
        <f t="shared" si="26"/>
        <v>121.51381435025948</v>
      </c>
      <c r="GK68" s="34">
        <f t="shared" si="27"/>
        <v>80.638447639896171</v>
      </c>
      <c r="GL68" s="34">
        <f t="shared" si="28"/>
        <v>-314.89126975234569</v>
      </c>
      <c r="GM68" s="34">
        <f t="shared" si="29"/>
        <v>325.05241270296216</v>
      </c>
      <c r="GN68" s="55">
        <f t="shared" si="59"/>
        <v>1038.7231047202076</v>
      </c>
      <c r="GO68" s="55">
        <f t="shared" si="60"/>
        <v>265.9998124375021</v>
      </c>
      <c r="GP68" s="34">
        <f t="shared" si="30"/>
        <v>1072.2413853682265</v>
      </c>
      <c r="GQ68" s="55">
        <f t="shared" si="31"/>
        <v>161.27689527979229</v>
      </c>
      <c r="GR68" s="55">
        <f t="shared" si="32"/>
        <v>-265.99981243750204</v>
      </c>
      <c r="GS68" s="34">
        <f t="shared" si="33"/>
        <v>311.0725593296126</v>
      </c>
      <c r="GT68" s="56">
        <f t="shared" si="34"/>
        <v>1090.8263017723539</v>
      </c>
      <c r="GU68" s="56">
        <f t="shared" si="35"/>
        <v>6.3745655390516163</v>
      </c>
      <c r="GV68" s="34">
        <f t="shared" si="36"/>
        <v>1090.8449274411839</v>
      </c>
      <c r="GW68" s="30">
        <f t="shared" si="37"/>
        <v>109.17369841130311</v>
      </c>
      <c r="GX68" s="30">
        <f t="shared" si="3"/>
        <v>-6.3745655364276779</v>
      </c>
      <c r="GY68" s="34">
        <f t="shared" si="38"/>
        <v>109.35964297024921</v>
      </c>
      <c r="GZ68" s="34">
        <f t="shared" si="61"/>
        <v>600.00000018365677</v>
      </c>
      <c r="HA68" s="34">
        <f t="shared" si="62"/>
        <v>2.6238913264364783E-9</v>
      </c>
      <c r="HB68" s="34">
        <f t="shared" si="39"/>
        <v>600.00000018365677</v>
      </c>
      <c r="HC68" s="33">
        <f t="shared" si="63"/>
        <v>0.18195616396309625</v>
      </c>
      <c r="HD68" s="33">
        <f t="shared" si="64"/>
        <v>-1.0624275891589818E-2</v>
      </c>
      <c r="HE68" s="33">
        <f t="shared" si="40"/>
        <v>0.18226607156129135</v>
      </c>
      <c r="HF68" s="33">
        <f t="shared" si="65"/>
        <v>0.10004591901455456</v>
      </c>
      <c r="HG68" s="33">
        <f t="shared" si="66"/>
        <v>-6.4284430905574398E-3</v>
      </c>
      <c r="HH68" s="33">
        <f t="shared" si="42"/>
        <v>0.10025223584556778</v>
      </c>
      <c r="HI68" s="30">
        <f t="shared" si="56"/>
        <v>2.4041884246212432E-2</v>
      </c>
      <c r="HJ68" s="30">
        <f t="shared" si="43"/>
        <v>-4.6081591726894952E-2</v>
      </c>
      <c r="HK68" s="33">
        <f t="shared" si="44"/>
        <v>5.1976199304994503E-2</v>
      </c>
      <c r="HL68" s="61">
        <f t="shared" si="45"/>
        <v>6.6357214873487818E-3</v>
      </c>
      <c r="HM68" s="61">
        <f t="shared" si="46"/>
        <v>-2.8317513660276461E-2</v>
      </c>
      <c r="HN68" s="33">
        <f t="shared" si="47"/>
        <v>2.9084607261532797E-2</v>
      </c>
      <c r="HO68" s="30">
        <f t="shared" si="48"/>
        <v>-19.978118657534253</v>
      </c>
      <c r="HP68" s="30">
        <f t="shared" si="49"/>
        <v>10.748617279137569</v>
      </c>
      <c r="HQ68" s="29">
        <v>7000</v>
      </c>
      <c r="HR68" s="30">
        <v>43982.297150257102</v>
      </c>
      <c r="HS68" s="30">
        <f t="shared" si="50"/>
        <v>-30.726735936671822</v>
      </c>
      <c r="HT68" s="30">
        <f t="shared" si="51"/>
        <v>-30.726735924780535</v>
      </c>
      <c r="HU68" s="30">
        <f t="shared" si="52"/>
        <v>1.1891287954313157E-8</v>
      </c>
      <c r="HV68" s="30">
        <f t="shared" si="53"/>
        <v>-10.814099001156109</v>
      </c>
      <c r="HW68" s="30">
        <f t="shared" si="9"/>
        <v>-10.814098570827408</v>
      </c>
      <c r="HX68" s="73">
        <f t="shared" si="10"/>
        <v>1.8365676623943727E-7</v>
      </c>
      <c r="HY68" s="30">
        <f t="shared" si="54"/>
        <v>-6.5481733909827256E-2</v>
      </c>
      <c r="HZ68" s="74">
        <f t="shared" si="55"/>
        <v>-4.3032870067349904E-7</v>
      </c>
    </row>
    <row r="69" spans="5:234" ht="15" customHeight="1">
      <c r="G69" s="30" t="s">
        <v>47</v>
      </c>
      <c r="I69" s="30" t="s">
        <v>257</v>
      </c>
      <c r="FT69" s="29">
        <v>8000</v>
      </c>
      <c r="FU69" s="27">
        <f t="shared" si="12"/>
        <v>50265.482457436687</v>
      </c>
      <c r="FV69" s="30">
        <f t="shared" si="13"/>
        <v>490.8457029708008</v>
      </c>
      <c r="FW69" s="30">
        <f t="shared" si="14"/>
        <v>5.5779653216818872</v>
      </c>
      <c r="FX69" s="34">
        <f t="shared" si="15"/>
        <v>490.87739591677013</v>
      </c>
      <c r="FY69" s="30">
        <f t="shared" si="16"/>
        <v>3.1693969145062069E-2</v>
      </c>
      <c r="FZ69" s="30">
        <f t="shared" si="17"/>
        <v>-2.7889826608409436</v>
      </c>
      <c r="GA69" s="34">
        <f t="shared" si="18"/>
        <v>2.7891627399905508</v>
      </c>
      <c r="GB69" s="34">
        <f t="shared" si="19"/>
        <v>468.22042355519648</v>
      </c>
      <c r="GC69" s="34">
        <f t="shared" si="20"/>
        <v>248.3986495513015</v>
      </c>
      <c r="GD69" s="34">
        <f t="shared" si="21"/>
        <v>530.03042755403942</v>
      </c>
      <c r="GE69" s="55">
        <f t="shared" si="22"/>
        <v>65.889788222401748</v>
      </c>
      <c r="GF69" s="55">
        <f t="shared" si="23"/>
        <v>-124.19932477565075</v>
      </c>
      <c r="GG69" s="34">
        <f t="shared" si="24"/>
        <v>140.59493755722687</v>
      </c>
      <c r="GH69" s="30">
        <f t="shared" si="25"/>
        <v>121.24381535488818</v>
      </c>
      <c r="GI69" s="30">
        <f t="shared" si="58"/>
        <v>-6.9557787413701897</v>
      </c>
      <c r="GJ69" s="34">
        <f t="shared" si="26"/>
        <v>121.44317856392395</v>
      </c>
      <c r="GK69" s="34">
        <f t="shared" si="27"/>
        <v>65.889788222401748</v>
      </c>
      <c r="GL69" s="34">
        <f t="shared" si="28"/>
        <v>-283.35426786754613</v>
      </c>
      <c r="GM69" s="34">
        <f t="shared" si="29"/>
        <v>290.91425766150763</v>
      </c>
      <c r="GN69" s="55">
        <f t="shared" si="59"/>
        <v>1068.2204235551965</v>
      </c>
      <c r="GO69" s="55">
        <f t="shared" si="60"/>
        <v>248.3986495513015</v>
      </c>
      <c r="GP69" s="34">
        <f t="shared" si="30"/>
        <v>1096.7209136327044</v>
      </c>
      <c r="GQ69" s="55">
        <f t="shared" si="31"/>
        <v>131.77957644480352</v>
      </c>
      <c r="GR69" s="55">
        <f t="shared" si="32"/>
        <v>-248.39864955130145</v>
      </c>
      <c r="GS69" s="34">
        <f t="shared" si="33"/>
        <v>281.18987511445374</v>
      </c>
      <c r="GT69" s="56">
        <f t="shared" si="34"/>
        <v>1090.8457029708009</v>
      </c>
      <c r="GU69" s="56">
        <f t="shared" si="35"/>
        <v>5.577965321681944</v>
      </c>
      <c r="GV69" s="34">
        <f t="shared" si="36"/>
        <v>1090.8599641507569</v>
      </c>
      <c r="GW69" s="30">
        <f t="shared" si="37"/>
        <v>109.15429716981647</v>
      </c>
      <c r="GX69" s="30">
        <f t="shared" si="3"/>
        <v>-5.5779653199240418</v>
      </c>
      <c r="GY69" s="34">
        <f t="shared" si="38"/>
        <v>109.2967258784401</v>
      </c>
      <c r="GZ69" s="34">
        <f t="shared" si="61"/>
        <v>600.00000014061732</v>
      </c>
      <c r="HA69" s="34">
        <f t="shared" si="62"/>
        <v>1.7578454247768605E-9</v>
      </c>
      <c r="HB69" s="34">
        <f t="shared" si="39"/>
        <v>600.00000014061732</v>
      </c>
      <c r="HC69" s="33">
        <f t="shared" si="63"/>
        <v>0.18192382857369746</v>
      </c>
      <c r="HD69" s="33">
        <f t="shared" si="64"/>
        <v>-9.296608864894286E-3</v>
      </c>
      <c r="HE69" s="33">
        <f>SQRT(HC69^2+HD69^2)</f>
        <v>0.18216120975470845</v>
      </c>
      <c r="HF69" s="33">
        <f t="shared" si="65"/>
        <v>0.10003515716593542</v>
      </c>
      <c r="HG69" s="33">
        <f t="shared" si="66"/>
        <v>-5.6249549682842685E-3</v>
      </c>
      <c r="HH69" s="33">
        <f t="shared" si="42"/>
        <v>0.10019317735059921</v>
      </c>
      <c r="HI69" s="30">
        <f t="shared" si="56"/>
        <v>1.9642265705012707E-2</v>
      </c>
      <c r="HJ69" s="30">
        <f t="shared" si="43"/>
        <v>-4.2649753551520245E-2</v>
      </c>
      <c r="HK69" s="33">
        <f t="shared" si="44"/>
        <v>4.695551171089217E-2</v>
      </c>
      <c r="HL69" s="61">
        <f t="shared" si="45"/>
        <v>5.1819867810634418E-3</v>
      </c>
      <c r="HM69" s="61">
        <f t="shared" si="46"/>
        <v>-2.5160584891150254E-2</v>
      </c>
      <c r="HN69" s="33">
        <f t="shared" si="47"/>
        <v>2.5688674918412875E-2</v>
      </c>
      <c r="HO69" s="30">
        <f t="shared" si="48"/>
        <v>-19.983237014458982</v>
      </c>
      <c r="HP69" s="30">
        <f t="shared" si="49"/>
        <v>11.821928936161829</v>
      </c>
      <c r="HQ69" s="29">
        <v>8000</v>
      </c>
      <c r="HR69" s="30">
        <v>50265.482457436687</v>
      </c>
      <c r="HS69" s="30">
        <f t="shared" si="50"/>
        <v>-31.805165950620811</v>
      </c>
      <c r="HT69" s="30">
        <f t="shared" si="51"/>
        <v>-31.805165941503198</v>
      </c>
      <c r="HU69" s="30">
        <f t="shared" si="52"/>
        <v>9.1176133310000296E-9</v>
      </c>
      <c r="HV69" s="30">
        <f t="shared" si="53"/>
        <v>-11.892529017878772</v>
      </c>
      <c r="HW69" s="30">
        <f t="shared" si="9"/>
        <v>-11.892528584776397</v>
      </c>
      <c r="HX69" s="73">
        <f t="shared" si="10"/>
        <v>1.406173169016256E-7</v>
      </c>
      <c r="HY69" s="30">
        <f t="shared" si="54"/>
        <v>-7.0600090834556539E-2</v>
      </c>
      <c r="HZ69" s="74">
        <f t="shared" si="55"/>
        <v>-4.3310237529681217E-7</v>
      </c>
    </row>
    <row r="70" spans="5:234" ht="15" customHeight="1">
      <c r="I70" s="168">
        <f>AJ46*(O65-1)/AJ34</f>
        <v>4.7699999999999996</v>
      </c>
      <c r="J70" s="168"/>
      <c r="K70" s="168"/>
      <c r="L70" s="168"/>
      <c r="M70" s="168"/>
      <c r="N70" s="30" t="s">
        <v>69</v>
      </c>
      <c r="FT70" s="29">
        <v>9000</v>
      </c>
      <c r="FU70" s="27">
        <f t="shared" si="12"/>
        <v>56548.667764616279</v>
      </c>
      <c r="FV70" s="30">
        <f t="shared" si="13"/>
        <v>490.85900525484863</v>
      </c>
      <c r="FW70" s="30">
        <f t="shared" si="14"/>
        <v>4.9583257677294323</v>
      </c>
      <c r="FX70" s="34">
        <f t="shared" si="15"/>
        <v>490.88404744318024</v>
      </c>
      <c r="FY70" s="30">
        <f t="shared" si="16"/>
        <v>2.5042827121166299E-2</v>
      </c>
      <c r="FZ70" s="30">
        <f t="shared" si="17"/>
        <v>-2.4791628838647162</v>
      </c>
      <c r="GA70" s="34">
        <f t="shared" si="18"/>
        <v>2.4792893634916107</v>
      </c>
      <c r="GB70" s="34">
        <f t="shared" si="19"/>
        <v>490.84634750914677</v>
      </c>
      <c r="GC70" s="34">
        <f t="shared" si="20"/>
        <v>231.46851112498646</v>
      </c>
      <c r="GD70" s="34">
        <f t="shared" si="21"/>
        <v>542.68573641241767</v>
      </c>
      <c r="GE70" s="55">
        <f t="shared" si="22"/>
        <v>54.576826245426609</v>
      </c>
      <c r="GF70" s="55">
        <f t="shared" si="23"/>
        <v>-115.73425556249323</v>
      </c>
      <c r="GG70" s="34">
        <f t="shared" si="24"/>
        <v>127.95721110444687</v>
      </c>
      <c r="GH70" s="30">
        <f t="shared" si="25"/>
        <v>121.23716417642513</v>
      </c>
      <c r="GI70" s="30">
        <f t="shared" si="58"/>
        <v>-6.1829816221129361</v>
      </c>
      <c r="GJ70" s="34">
        <f t="shared" si="26"/>
        <v>121.39472492361786</v>
      </c>
      <c r="GK70" s="34">
        <f t="shared" si="27"/>
        <v>54.576826245426609</v>
      </c>
      <c r="GL70" s="34">
        <f t="shared" si="28"/>
        <v>-257.2053160886224</v>
      </c>
      <c r="GM70" s="34">
        <f t="shared" si="29"/>
        <v>262.93193907791357</v>
      </c>
      <c r="GN70" s="55">
        <f t="shared" si="59"/>
        <v>1090.8463475091467</v>
      </c>
      <c r="GO70" s="55">
        <f t="shared" si="60"/>
        <v>231.46851112498646</v>
      </c>
      <c r="GP70" s="34">
        <f t="shared" si="30"/>
        <v>1115.1338150717447</v>
      </c>
      <c r="GQ70" s="55">
        <f t="shared" si="31"/>
        <v>109.15365249085319</v>
      </c>
      <c r="GR70" s="55">
        <f t="shared" si="32"/>
        <v>-231.46851112498638</v>
      </c>
      <c r="GS70" s="34">
        <f t="shared" si="33"/>
        <v>255.91442220889365</v>
      </c>
      <c r="GT70" s="56">
        <f t="shared" si="34"/>
        <v>1090.8590052548486</v>
      </c>
      <c r="GU70" s="56">
        <f t="shared" si="35"/>
        <v>4.9583257677295194</v>
      </c>
      <c r="GV70" s="34">
        <f t="shared" si="36"/>
        <v>1090.8702738364525</v>
      </c>
      <c r="GW70" s="30">
        <f t="shared" si="37"/>
        <v>109.14099485625917</v>
      </c>
      <c r="GX70" s="30">
        <f t="shared" si="3"/>
        <v>-4.9583257664948217</v>
      </c>
      <c r="GY70" s="34">
        <f t="shared" si="38"/>
        <v>109.25356631534129</v>
      </c>
      <c r="GZ70" s="34">
        <f t="shared" si="61"/>
        <v>600.00000011110774</v>
      </c>
      <c r="HA70" s="34">
        <f t="shared" si="62"/>
        <v>1.2346106359473197E-9</v>
      </c>
      <c r="HB70" s="34">
        <f t="shared" si="39"/>
        <v>600.00000011110774</v>
      </c>
      <c r="HC70" s="33">
        <f t="shared" si="63"/>
        <v>0.18190165806006381</v>
      </c>
      <c r="HD70" s="33">
        <f t="shared" si="64"/>
        <v>-8.2638762763353642E-3</v>
      </c>
      <c r="HE70" s="33">
        <f t="shared" ref="HE70:HE86" si="67">SQRT(HC70^2+HD70^2)</f>
        <v>0.18208927715851628</v>
      </c>
      <c r="HF70" s="33">
        <f t="shared" si="65"/>
        <v>0.10002777872922694</v>
      </c>
      <c r="HG70" s="33">
        <f t="shared" si="66"/>
        <v>-5.0000009646423843E-3</v>
      </c>
      <c r="HH70" s="33">
        <f t="shared" si="42"/>
        <v>0.100152666101056</v>
      </c>
      <c r="HI70" s="30">
        <f t="shared" si="56"/>
        <v>1.6268424366554537E-2</v>
      </c>
      <c r="HJ70" s="30">
        <f t="shared" si="43"/>
        <v>-3.9498415635570418E-2</v>
      </c>
      <c r="HK70" s="33">
        <f t="shared" si="44"/>
        <v>4.2717519463219993E-2</v>
      </c>
      <c r="HL70" s="61">
        <f t="shared" si="45"/>
        <v>4.1512905978993335E-3</v>
      </c>
      <c r="HM70" s="61">
        <f t="shared" si="46"/>
        <v>-2.2606247425766252E-2</v>
      </c>
      <c r="HN70" s="33">
        <f t="shared" si="47"/>
        <v>2.298424756878438E-2</v>
      </c>
      <c r="HO70" s="30">
        <f t="shared" si="48"/>
        <v>-19.986749702732077</v>
      </c>
      <c r="HP70" s="30">
        <f t="shared" si="49"/>
        <v>12.784644486519205</v>
      </c>
      <c r="HQ70" s="29">
        <v>9000</v>
      </c>
      <c r="HR70" s="30">
        <v>56548.667764616279</v>
      </c>
      <c r="HS70" s="30">
        <f t="shared" si="50"/>
        <v>-32.771394189251282</v>
      </c>
      <c r="HT70" s="30">
        <f t="shared" si="51"/>
        <v>-32.771394182039984</v>
      </c>
      <c r="HU70" s="30">
        <f t="shared" si="52"/>
        <v>7.2112982252292568E-9</v>
      </c>
      <c r="HV70" s="30">
        <f t="shared" si="53"/>
        <v>-12.858757258415558</v>
      </c>
      <c r="HW70" s="30">
        <f t="shared" si="9"/>
        <v>-12.858756823406868</v>
      </c>
      <c r="HX70" s="73">
        <f t="shared" si="10"/>
        <v>1.1110773812106345E-7</v>
      </c>
      <c r="HY70" s="30">
        <f t="shared" si="54"/>
        <v>-7.4112779107650795E-2</v>
      </c>
      <c r="HZ70" s="74">
        <f t="shared" si="55"/>
        <v>-4.3500869040258294E-7</v>
      </c>
    </row>
    <row r="71" spans="5:234" ht="15" customHeight="1">
      <c r="G71" s="30" t="s">
        <v>44</v>
      </c>
      <c r="I71" s="30" t="s">
        <v>263</v>
      </c>
      <c r="FT71" s="29">
        <v>10000</v>
      </c>
      <c r="FU71" s="27">
        <f t="shared" si="12"/>
        <v>62831.853071795864</v>
      </c>
      <c r="FV71" s="30">
        <f t="shared" si="13"/>
        <v>490.86852074270189</v>
      </c>
      <c r="FW71" s="30">
        <f t="shared" si="14"/>
        <v>4.4625796980782884</v>
      </c>
      <c r="FX71" s="34">
        <f t="shared" si="15"/>
        <v>490.88880540677445</v>
      </c>
      <c r="FY71" s="30">
        <f t="shared" si="16"/>
        <v>2.0285083194547669E-2</v>
      </c>
      <c r="FZ71" s="30">
        <f t="shared" si="17"/>
        <v>-2.2312898490391442</v>
      </c>
      <c r="GA71" s="34">
        <f t="shared" si="18"/>
        <v>2.2313820549214194</v>
      </c>
      <c r="GB71" s="34">
        <f t="shared" si="19"/>
        <v>508.42005093625136</v>
      </c>
      <c r="GC71" s="34">
        <f t="shared" si="20"/>
        <v>215.78017139610031</v>
      </c>
      <c r="GD71" s="34">
        <f t="shared" si="21"/>
        <v>552.31515510779786</v>
      </c>
      <c r="GE71" s="55">
        <f t="shared" si="22"/>
        <v>45.789974531874357</v>
      </c>
      <c r="GF71" s="55">
        <f t="shared" si="23"/>
        <v>-107.89008569805016</v>
      </c>
      <c r="GG71" s="34">
        <f t="shared" si="24"/>
        <v>117.20491610663056</v>
      </c>
      <c r="GH71" s="30">
        <f t="shared" si="25"/>
        <v>121.23240640643378</v>
      </c>
      <c r="GI71" s="30">
        <f t="shared" si="58"/>
        <v>-5.5647267134625436</v>
      </c>
      <c r="GJ71" s="34">
        <f t="shared" si="26"/>
        <v>121.36005333918673</v>
      </c>
      <c r="GK71" s="34">
        <f t="shared" si="27"/>
        <v>45.789974531874357</v>
      </c>
      <c r="GL71" s="34">
        <f t="shared" si="28"/>
        <v>-235.21404017156641</v>
      </c>
      <c r="GM71" s="34">
        <f t="shared" si="29"/>
        <v>239.62964437118575</v>
      </c>
      <c r="GN71" s="55">
        <f t="shared" si="59"/>
        <v>1108.4200509362513</v>
      </c>
      <c r="GO71" s="55">
        <f t="shared" si="60"/>
        <v>215.78017139610031</v>
      </c>
      <c r="GP71" s="34">
        <f t="shared" si="30"/>
        <v>1129.2280955082779</v>
      </c>
      <c r="GQ71" s="55">
        <f t="shared" si="31"/>
        <v>91.5799490637487</v>
      </c>
      <c r="GR71" s="55">
        <f t="shared" si="32"/>
        <v>-215.78017139610034</v>
      </c>
      <c r="GS71" s="34">
        <f t="shared" si="33"/>
        <v>234.40983221326115</v>
      </c>
      <c r="GT71" s="56">
        <f t="shared" si="34"/>
        <v>1090.868520742702</v>
      </c>
      <c r="GU71" s="56">
        <f t="shared" si="35"/>
        <v>4.4625796980782582</v>
      </c>
      <c r="GV71" s="34">
        <f t="shared" si="36"/>
        <v>1090.877648577022</v>
      </c>
      <c r="GW71" s="30">
        <f t="shared" si="37"/>
        <v>109.13147934729706</v>
      </c>
      <c r="GX71" s="30">
        <f t="shared" si="3"/>
        <v>-4.4625796971782474</v>
      </c>
      <c r="GY71" s="34">
        <f t="shared" si="38"/>
        <v>109.22268263544524</v>
      </c>
      <c r="GZ71" s="34">
        <f t="shared" si="61"/>
        <v>600.00000008999893</v>
      </c>
      <c r="HA71" s="34">
        <f t="shared" si="62"/>
        <v>9.000409306736401E-10</v>
      </c>
      <c r="HB71" s="34">
        <f t="shared" si="39"/>
        <v>600.00000008999893</v>
      </c>
      <c r="HC71" s="33">
        <f t="shared" si="63"/>
        <v>0.18188579888486806</v>
      </c>
      <c r="HD71" s="33">
        <f t="shared" si="64"/>
        <v>-7.4376328277876219E-3</v>
      </c>
      <c r="HE71" s="33">
        <f t="shared" si="67"/>
        <v>0.18203780436510339</v>
      </c>
      <c r="HF71" s="33">
        <f t="shared" si="65"/>
        <v>0.10002250090262968</v>
      </c>
      <c r="HG71" s="33">
        <f t="shared" si="66"/>
        <v>-4.5000272582891004E-3</v>
      </c>
      <c r="HH71" s="33">
        <f t="shared" si="42"/>
        <v>0.10012367817924939</v>
      </c>
      <c r="HI71" s="30">
        <f t="shared" si="56"/>
        <v>1.36483981413514E-2</v>
      </c>
      <c r="HJ71" s="30">
        <f t="shared" si="43"/>
        <v>-3.6658307758892721E-2</v>
      </c>
      <c r="HK71" s="33">
        <f t="shared" si="44"/>
        <v>3.9116624337620684E-2</v>
      </c>
      <c r="HL71" s="61">
        <f t="shared" si="45"/>
        <v>3.3963005527538454E-3</v>
      </c>
      <c r="HM71" s="61">
        <f t="shared" si="46"/>
        <v>-2.0504716557160765E-2</v>
      </c>
      <c r="HN71" s="33">
        <f t="shared" si="47"/>
        <v>2.0784086665863837E-2</v>
      </c>
      <c r="HO71" s="30">
        <f t="shared" si="48"/>
        <v>-19.98926408746695</v>
      </c>
      <c r="HP71" s="30">
        <f t="shared" si="49"/>
        <v>13.656117025142741</v>
      </c>
      <c r="HQ71" s="29">
        <v>10000</v>
      </c>
      <c r="HR71" s="30">
        <v>62831.853071795864</v>
      </c>
      <c r="HS71" s="30">
        <f t="shared" si="50"/>
        <v>-33.645381112609691</v>
      </c>
      <c r="HT71" s="30">
        <f t="shared" si="51"/>
        <v>-33.645381106764326</v>
      </c>
      <c r="HU71" s="30">
        <f t="shared" si="52"/>
        <v>5.8453650808587554E-9</v>
      </c>
      <c r="HV71" s="30">
        <f t="shared" si="53"/>
        <v>-13.7327441831399</v>
      </c>
      <c r="HW71" s="30">
        <f t="shared" si="9"/>
        <v>-13.732743746765276</v>
      </c>
      <c r="HX71" s="73">
        <f t="shared" si="10"/>
        <v>8.9998934527102392E-8</v>
      </c>
      <c r="HY71" s="30">
        <f t="shared" si="54"/>
        <v>-7.6627163842523771E-2</v>
      </c>
      <c r="HZ71" s="74">
        <f t="shared" si="55"/>
        <v>-4.3637462354695344E-7</v>
      </c>
    </row>
    <row r="72" spans="5:234" ht="15" customHeight="1">
      <c r="I72" s="104">
        <f>I70/1000000*AJ34^2</f>
        <v>1.7171999999999996</v>
      </c>
      <c r="J72" s="104"/>
      <c r="K72" s="104"/>
      <c r="L72" s="104"/>
      <c r="N72" s="30" t="s">
        <v>46</v>
      </c>
      <c r="FT72" s="29">
        <v>11000</v>
      </c>
      <c r="FU72" s="27">
        <f t="shared" si="12"/>
        <v>69115.038378975441</v>
      </c>
      <c r="FV72" s="30">
        <f t="shared" si="13"/>
        <v>490.87556136504566</v>
      </c>
      <c r="FW72" s="30">
        <f t="shared" si="14"/>
        <v>4.056948823385393</v>
      </c>
      <c r="FX72" s="34">
        <f t="shared" si="15"/>
        <v>490.89232585079623</v>
      </c>
      <c r="FY72" s="30">
        <f t="shared" si="16"/>
        <v>1.6764772022667792E-2</v>
      </c>
      <c r="FZ72" s="30">
        <f t="shared" si="17"/>
        <v>-2.0284744116926965</v>
      </c>
      <c r="GA72" s="34">
        <f t="shared" si="18"/>
        <v>2.0285436885788295</v>
      </c>
      <c r="GB72" s="34">
        <f t="shared" si="19"/>
        <v>522.25461104979411</v>
      </c>
      <c r="GC72" s="34">
        <f t="shared" si="20"/>
        <v>201.5015827905695</v>
      </c>
      <c r="GD72" s="34">
        <f t="shared" si="21"/>
        <v>559.77921239527689</v>
      </c>
      <c r="GE72" s="55">
        <f t="shared" si="22"/>
        <v>38.872694475102954</v>
      </c>
      <c r="GF72" s="55">
        <f t="shared" si="23"/>
        <v>-100.75079139528475</v>
      </c>
      <c r="GG72" s="34">
        <f t="shared" si="24"/>
        <v>107.98985296096519</v>
      </c>
      <c r="GH72" s="30">
        <f t="shared" si="25"/>
        <v>121.22888607597696</v>
      </c>
      <c r="GI72" s="30">
        <f t="shared" si="58"/>
        <v>-5.0588715611685151</v>
      </c>
      <c r="GJ72" s="34">
        <f t="shared" si="26"/>
        <v>121.33439331325063</v>
      </c>
      <c r="GK72" s="34">
        <f t="shared" si="27"/>
        <v>38.872694475102954</v>
      </c>
      <c r="GL72" s="34">
        <f t="shared" si="28"/>
        <v>-216.4998409166632</v>
      </c>
      <c r="GM72" s="34">
        <f t="shared" si="29"/>
        <v>219.96196828700906</v>
      </c>
      <c r="GN72" s="55">
        <f t="shared" si="59"/>
        <v>1122.2546110497942</v>
      </c>
      <c r="GO72" s="55">
        <f t="shared" si="60"/>
        <v>201.5015827905695</v>
      </c>
      <c r="GP72" s="34">
        <f t="shared" si="30"/>
        <v>1140.2009910053707</v>
      </c>
      <c r="GQ72" s="55">
        <f t="shared" si="31"/>
        <v>77.745388950205907</v>
      </c>
      <c r="GR72" s="55">
        <f t="shared" si="32"/>
        <v>-201.50158279056953</v>
      </c>
      <c r="GS72" s="34">
        <f t="shared" si="33"/>
        <v>215.97970592193042</v>
      </c>
      <c r="GT72" s="56">
        <f t="shared" si="34"/>
        <v>1090.8755613650458</v>
      </c>
      <c r="GU72" s="56">
        <f t="shared" si="35"/>
        <v>4.056948823385369</v>
      </c>
      <c r="GV72" s="34">
        <f t="shared" si="36"/>
        <v>1090.8831052029632</v>
      </c>
      <c r="GW72" s="30">
        <f t="shared" si="37"/>
        <v>109.12443870933461</v>
      </c>
      <c r="GX72" s="30">
        <f t="shared" si="3"/>
        <v>-4.0569488227091739</v>
      </c>
      <c r="GY72" s="34">
        <f t="shared" si="38"/>
        <v>109.19982581202869</v>
      </c>
      <c r="GZ72" s="34">
        <f t="shared" si="61"/>
        <v>600.0000000743803</v>
      </c>
      <c r="HA72" s="34">
        <f t="shared" si="62"/>
        <v>6.7621908073078885E-10</v>
      </c>
      <c r="HB72" s="34">
        <f t="shared" si="39"/>
        <v>600.0000000743803</v>
      </c>
      <c r="HC72" s="33">
        <f t="shared" si="63"/>
        <v>0.18187406449300367</v>
      </c>
      <c r="HD72" s="33">
        <f t="shared" si="64"/>
        <v>-6.7615813705487211E-3</v>
      </c>
      <c r="HE72" s="33">
        <f t="shared" si="67"/>
        <v>0.18199970966415252</v>
      </c>
      <c r="HF72" s="33">
        <f t="shared" si="65"/>
        <v>0.100018595867986</v>
      </c>
      <c r="HG72" s="33">
        <f t="shared" si="66"/>
        <v>-4.0909516219871898E-3</v>
      </c>
      <c r="HH72" s="33">
        <f t="shared" si="42"/>
        <v>0.10010222477336329</v>
      </c>
      <c r="HI72" s="30">
        <f t="shared" si="56"/>
        <v>1.1586085685099943E-2</v>
      </c>
      <c r="HJ72" s="30">
        <f t="shared" si="43"/>
        <v>-3.4119930001528943E-2</v>
      </c>
      <c r="HK72" s="33">
        <f t="shared" si="44"/>
        <v>3.6033415114469967E-2</v>
      </c>
      <c r="HL72" s="61">
        <f t="shared" si="45"/>
        <v>2.8278661893686272E-3</v>
      </c>
      <c r="HM72" s="61">
        <f t="shared" si="46"/>
        <v>-1.8749557637648649E-2</v>
      </c>
      <c r="HN72" s="33">
        <f t="shared" si="47"/>
        <v>1.8961612241380821E-2</v>
      </c>
      <c r="HO72" s="30">
        <f t="shared" si="48"/>
        <v>-19.991125404248173</v>
      </c>
      <c r="HP72" s="30">
        <f t="shared" si="49"/>
        <v>14.451369377498899</v>
      </c>
      <c r="HQ72" s="29">
        <v>11000</v>
      </c>
      <c r="HR72" s="30">
        <v>69115.038378975441</v>
      </c>
      <c r="HS72" s="30">
        <f t="shared" si="50"/>
        <v>-34.442494781747072</v>
      </c>
      <c r="HT72" s="30">
        <f t="shared" si="51"/>
        <v>-34.442494776913634</v>
      </c>
      <c r="HU72" s="30">
        <f t="shared" si="52"/>
        <v>4.8334385382986511E-9</v>
      </c>
      <c r="HV72" s="30">
        <f t="shared" si="53"/>
        <v>-14.529857853289208</v>
      </c>
      <c r="HW72" s="30">
        <f t="shared" si="9"/>
        <v>-14.529857415902658</v>
      </c>
      <c r="HX72" s="73">
        <f t="shared" si="10"/>
        <v>7.4380295700393617E-8</v>
      </c>
      <c r="HY72" s="30">
        <f t="shared" si="54"/>
        <v>-7.8488480623747137E-2</v>
      </c>
      <c r="HZ72" s="74">
        <f t="shared" si="55"/>
        <v>-4.3738655008951355E-7</v>
      </c>
    </row>
    <row r="73" spans="5:234" ht="15" customHeight="1">
      <c r="E73" s="30" t="s">
        <v>264</v>
      </c>
      <c r="FT73" s="29">
        <v>12000</v>
      </c>
      <c r="FU73" s="27">
        <f t="shared" si="12"/>
        <v>75398.223686155034</v>
      </c>
      <c r="FV73" s="30">
        <f t="shared" si="13"/>
        <v>490.88091647097076</v>
      </c>
      <c r="FW73" s="30">
        <f t="shared" si="14"/>
        <v>3.7189103250142694</v>
      </c>
      <c r="FX73" s="34">
        <f t="shared" si="15"/>
        <v>490.89500348790028</v>
      </c>
      <c r="FY73" s="30">
        <f t="shared" si="16"/>
        <v>1.40872190600993E-2</v>
      </c>
      <c r="FZ73" s="30">
        <f t="shared" si="17"/>
        <v>-1.8594551625071347</v>
      </c>
      <c r="GA73" s="34">
        <f t="shared" si="18"/>
        <v>1.8595085240770697</v>
      </c>
      <c r="GB73" s="34">
        <f t="shared" si="19"/>
        <v>533.29167446494728</v>
      </c>
      <c r="GC73" s="34">
        <f t="shared" si="20"/>
        <v>188.61334689077836</v>
      </c>
      <c r="GD73" s="34">
        <f t="shared" si="21"/>
        <v>565.6633315665498</v>
      </c>
      <c r="GE73" s="55">
        <f t="shared" si="22"/>
        <v>33.354162767526383</v>
      </c>
      <c r="GF73" s="55">
        <f t="shared" si="23"/>
        <v>-94.30667344538918</v>
      </c>
      <c r="GG73" s="34">
        <f t="shared" si="24"/>
        <v>100.03123927182905</v>
      </c>
      <c r="GH73" s="30">
        <f t="shared" si="25"/>
        <v>121.2262085083466</v>
      </c>
      <c r="GI73" s="30">
        <f t="shared" si="58"/>
        <v>-4.6373192161933012</v>
      </c>
      <c r="GJ73" s="34">
        <f t="shared" si="26"/>
        <v>121.3148727849228</v>
      </c>
      <c r="GK73" s="34">
        <f t="shared" si="27"/>
        <v>33.354162767526383</v>
      </c>
      <c r="GL73" s="34">
        <f t="shared" si="28"/>
        <v>-200.40996883998608</v>
      </c>
      <c r="GM73" s="34">
        <f t="shared" si="29"/>
        <v>203.16657152289309</v>
      </c>
      <c r="GN73" s="55">
        <f t="shared" si="59"/>
        <v>1133.2916744649474</v>
      </c>
      <c r="GO73" s="55">
        <f t="shared" si="60"/>
        <v>188.61334689077836</v>
      </c>
      <c r="GP73" s="34">
        <f t="shared" si="30"/>
        <v>1148.8798953924234</v>
      </c>
      <c r="GQ73" s="55">
        <f t="shared" si="31"/>
        <v>66.708325535052751</v>
      </c>
      <c r="GR73" s="55">
        <f t="shared" si="32"/>
        <v>-188.61334689077833</v>
      </c>
      <c r="GS73" s="34">
        <f t="shared" si="33"/>
        <v>200.06247854365807</v>
      </c>
      <c r="GT73" s="56">
        <f t="shared" si="34"/>
        <v>1090.8809164709708</v>
      </c>
      <c r="GU73" s="56">
        <f t="shared" si="35"/>
        <v>3.7189103250142921</v>
      </c>
      <c r="GV73" s="34">
        <f t="shared" si="36"/>
        <v>1090.8872555010214</v>
      </c>
      <c r="GW73" s="30">
        <f t="shared" si="37"/>
        <v>109.1190835915299</v>
      </c>
      <c r="GX73" s="30">
        <f t="shared" si="3"/>
        <v>-3.7189103244934034</v>
      </c>
      <c r="GY73" s="34">
        <f t="shared" si="38"/>
        <v>109.18243768050297</v>
      </c>
      <c r="GZ73" s="34">
        <f t="shared" si="61"/>
        <v>600.0000000625007</v>
      </c>
      <c r="HA73" s="34">
        <f t="shared" si="62"/>
        <v>5.2086601698420054E-10</v>
      </c>
      <c r="HB73" s="34">
        <f t="shared" si="39"/>
        <v>600.0000000625007</v>
      </c>
      <c r="HC73" s="33">
        <f t="shared" si="63"/>
        <v>0.1818651393002666</v>
      </c>
      <c r="HD73" s="33">
        <f t="shared" si="64"/>
        <v>-6.1981838736678996E-3</v>
      </c>
      <c r="HE73" s="33">
        <f t="shared" si="67"/>
        <v>0.18197072944854942</v>
      </c>
      <c r="HF73" s="33">
        <f t="shared" si="65"/>
        <v>0.10001562574619569</v>
      </c>
      <c r="HG73" s="33">
        <f t="shared" si="66"/>
        <v>-3.7500513627876718E-3</v>
      </c>
      <c r="HH73" s="33">
        <f t="shared" si="42"/>
        <v>0.10008590449522163</v>
      </c>
      <c r="HI73" s="30">
        <f t="shared" si="56"/>
        <v>9.9409419705358618E-3</v>
      </c>
      <c r="HJ73" s="30">
        <f t="shared" si="43"/>
        <v>-3.1857402600745793E-2</v>
      </c>
      <c r="HK73" s="33">
        <f t="shared" si="44"/>
        <v>3.3372390200996485E-2</v>
      </c>
      <c r="HL73" s="61">
        <f t="shared" si="45"/>
        <v>2.3897973238774374E-3</v>
      </c>
      <c r="HM73" s="61">
        <f t="shared" si="46"/>
        <v>-1.7264036852059104E-2</v>
      </c>
      <c r="HN73" s="33">
        <f t="shared" si="47"/>
        <v>1.7428657426160701E-2</v>
      </c>
      <c r="HO73" s="30">
        <f t="shared" si="48"/>
        <v>-19.992541633428523</v>
      </c>
      <c r="HP73" s="30">
        <f t="shared" si="49"/>
        <v>15.182179698850241</v>
      </c>
      <c r="HQ73" s="29">
        <v>12000</v>
      </c>
      <c r="HR73" s="30">
        <v>75398.223686155034</v>
      </c>
      <c r="HS73" s="30">
        <f t="shared" si="50"/>
        <v>-35.174721332278764</v>
      </c>
      <c r="HT73" s="30">
        <f t="shared" si="51"/>
        <v>-35.174721328215689</v>
      </c>
      <c r="HU73" s="30">
        <f t="shared" si="52"/>
        <v>4.0630752096149081E-9</v>
      </c>
      <c r="HV73" s="30">
        <f t="shared" si="53"/>
        <v>-15.262084404591263</v>
      </c>
      <c r="HW73" s="30">
        <f t="shared" si="9"/>
        <v>-15.26208396643435</v>
      </c>
      <c r="HX73" s="73">
        <f t="shared" si="10"/>
        <v>6.2500703279511072E-8</v>
      </c>
      <c r="HY73" s="30">
        <f t="shared" si="54"/>
        <v>-7.9904709804097251E-2</v>
      </c>
      <c r="HZ73" s="74">
        <f t="shared" si="55"/>
        <v>-4.3815691341819729E-7</v>
      </c>
    </row>
    <row r="74" spans="5:234" ht="15" customHeight="1">
      <c r="G74" s="30" t="s">
        <v>266</v>
      </c>
      <c r="I74" s="30" t="s">
        <v>267</v>
      </c>
      <c r="FT74" s="29">
        <v>13000</v>
      </c>
      <c r="FU74" s="27">
        <f t="shared" si="12"/>
        <v>81681.408993334626</v>
      </c>
      <c r="FV74" s="30">
        <f t="shared" si="13"/>
        <v>490.88508408344285</v>
      </c>
      <c r="FW74" s="30">
        <f t="shared" si="14"/>
        <v>3.4328694450615314</v>
      </c>
      <c r="FX74" s="34">
        <f t="shared" si="15"/>
        <v>490.89708734951324</v>
      </c>
      <c r="FY74" s="30">
        <f t="shared" si="16"/>
        <v>1.2003412824042813E-2</v>
      </c>
      <c r="FZ74" s="30">
        <f t="shared" si="17"/>
        <v>-1.7164347225307657</v>
      </c>
      <c r="GA74" s="34">
        <f t="shared" si="18"/>
        <v>1.7164766932960933</v>
      </c>
      <c r="GB74" s="34">
        <f t="shared" si="19"/>
        <v>542.20929632074001</v>
      </c>
      <c r="GC74" s="34">
        <f t="shared" si="20"/>
        <v>177.01597887143387</v>
      </c>
      <c r="GD74" s="34">
        <f t="shared" si="21"/>
        <v>570.37319168457066</v>
      </c>
      <c r="GE74" s="55">
        <f t="shared" si="22"/>
        <v>28.895351839629953</v>
      </c>
      <c r="GF74" s="55">
        <f t="shared" si="23"/>
        <v>-88.507989435716937</v>
      </c>
      <c r="GG74" s="34">
        <f t="shared" si="24"/>
        <v>93.105346526872381</v>
      </c>
      <c r="GH74" s="30">
        <f t="shared" si="25"/>
        <v>121.22412469069556</v>
      </c>
      <c r="GI74" s="30">
        <f t="shared" si="58"/>
        <v>-4.2806169259333808</v>
      </c>
      <c r="GJ74" s="34">
        <f t="shared" si="26"/>
        <v>121.29967884661481</v>
      </c>
      <c r="GK74" s="34">
        <f t="shared" si="27"/>
        <v>28.895351839629953</v>
      </c>
      <c r="GL74" s="34">
        <f t="shared" si="28"/>
        <v>-186.44949287688331</v>
      </c>
      <c r="GM74" s="34">
        <f t="shared" si="29"/>
        <v>188.67526269223256</v>
      </c>
      <c r="GN74" s="55">
        <f t="shared" si="59"/>
        <v>1142.2092963207401</v>
      </c>
      <c r="GO74" s="55">
        <f t="shared" si="60"/>
        <v>177.01597887143387</v>
      </c>
      <c r="GP74" s="34">
        <f t="shared" si="30"/>
        <v>1155.8445974166823</v>
      </c>
      <c r="GQ74" s="55">
        <f t="shared" si="31"/>
        <v>57.790703679259913</v>
      </c>
      <c r="GR74" s="55">
        <f t="shared" si="32"/>
        <v>-177.01597887143387</v>
      </c>
      <c r="GS74" s="34">
        <f t="shared" si="33"/>
        <v>186.21069305374476</v>
      </c>
      <c r="GT74" s="56">
        <f t="shared" si="34"/>
        <v>1090.8850840834427</v>
      </c>
      <c r="GU74" s="56">
        <f t="shared" si="35"/>
        <v>3.4328694450615274</v>
      </c>
      <c r="GV74" s="34">
        <f t="shared" si="36"/>
        <v>1090.8904854605557</v>
      </c>
      <c r="GW74" s="30">
        <f t="shared" si="37"/>
        <v>109.11491596981256</v>
      </c>
      <c r="GX74" s="30">
        <f t="shared" si="3"/>
        <v>-3.4328694446518537</v>
      </c>
      <c r="GY74" s="34">
        <f t="shared" si="38"/>
        <v>109.16890344655515</v>
      </c>
      <c r="GZ74" s="34">
        <f t="shared" si="61"/>
        <v>600.00000005325546</v>
      </c>
      <c r="HA74" s="34">
        <f t="shared" si="62"/>
        <v>4.0967762515720096E-10</v>
      </c>
      <c r="HB74" s="34">
        <f t="shared" si="39"/>
        <v>600.00000005325546</v>
      </c>
      <c r="HC74" s="33">
        <f t="shared" si="63"/>
        <v>0.18185819326687547</v>
      </c>
      <c r="HD74" s="33">
        <f t="shared" si="64"/>
        <v>-5.7214490740360984E-3</v>
      </c>
      <c r="HE74" s="33">
        <f t="shared" si="67"/>
        <v>0.1819481723947757</v>
      </c>
      <c r="HF74" s="33">
        <f t="shared" si="65"/>
        <v>0.1000133142794751</v>
      </c>
      <c r="HG74" s="33">
        <f t="shared" si="66"/>
        <v>-3.4615947639285534E-3</v>
      </c>
      <c r="HH74" s="33">
        <f t="shared" si="42"/>
        <v>0.10007320156502797</v>
      </c>
      <c r="HI74" s="30">
        <f t="shared" si="56"/>
        <v>8.6118037065213288E-3</v>
      </c>
      <c r="HJ74" s="30">
        <f t="shared" si="43"/>
        <v>-2.984000454102919E-2</v>
      </c>
      <c r="HK74" s="33">
        <f t="shared" si="44"/>
        <v>3.1057833699218256E-2</v>
      </c>
      <c r="HL74" s="61">
        <f t="shared" si="45"/>
        <v>2.0453909972547859E-3</v>
      </c>
      <c r="HM74" s="61">
        <f t="shared" si="46"/>
        <v>-1.5991876158782503E-2</v>
      </c>
      <c r="HN74" s="33">
        <f t="shared" si="47"/>
        <v>1.6122150210486415E-2</v>
      </c>
      <c r="HO74" s="30">
        <f t="shared" si="48"/>
        <v>-19.993644118866854</v>
      </c>
      <c r="HP74" s="30">
        <f t="shared" si="49"/>
        <v>15.857896621226814</v>
      </c>
      <c r="HQ74" s="29">
        <v>13000</v>
      </c>
      <c r="HR74" s="30">
        <v>81681.408993334626</v>
      </c>
      <c r="HS74" s="30">
        <f t="shared" si="50"/>
        <v>-35.851540740093668</v>
      </c>
      <c r="HT74" s="30">
        <f t="shared" si="51"/>
        <v>-35.851540736630547</v>
      </c>
      <c r="HU74" s="30">
        <f t="shared" si="52"/>
        <v>3.4631213452485099E-9</v>
      </c>
      <c r="HV74" s="30">
        <f t="shared" si="53"/>
        <v>-15.938903813006121</v>
      </c>
      <c r="HW74" s="30">
        <f t="shared" si="9"/>
        <v>-15.938903374249254</v>
      </c>
      <c r="HX74" s="73">
        <f t="shared" si="10"/>
        <v>5.3255462262313813E-8</v>
      </c>
      <c r="HY74" s="30">
        <f t="shared" si="54"/>
        <v>-8.1007195242428054E-2</v>
      </c>
      <c r="HZ74" s="74">
        <f t="shared" si="55"/>
        <v>-4.3875686728256369E-7</v>
      </c>
    </row>
    <row r="75" spans="5:234" ht="15" customHeight="1">
      <c r="G75" s="30" t="s">
        <v>268</v>
      </c>
      <c r="I75" s="30" t="s">
        <v>269</v>
      </c>
      <c r="FT75" s="29">
        <v>15000</v>
      </c>
      <c r="FU75" s="27">
        <f t="shared" si="12"/>
        <v>94247.779607693796</v>
      </c>
      <c r="FV75" s="30">
        <f t="shared" si="13"/>
        <v>490.89105889612995</v>
      </c>
      <c r="FW75" s="30">
        <f t="shared" si="14"/>
        <v>2.9751897311639985</v>
      </c>
      <c r="FX75" s="34">
        <f t="shared" si="15"/>
        <v>490.90007481981519</v>
      </c>
      <c r="FY75" s="30">
        <f t="shared" si="16"/>
        <v>9.0160064804691124E-3</v>
      </c>
      <c r="FZ75" s="30">
        <f t="shared" si="17"/>
        <v>-1.4875948655819993</v>
      </c>
      <c r="GA75" s="34">
        <f t="shared" si="18"/>
        <v>1.4876221874114348</v>
      </c>
      <c r="GB75" s="34">
        <f t="shared" si="19"/>
        <v>555.526625032585</v>
      </c>
      <c r="GC75" s="34">
        <f t="shared" si="20"/>
        <v>157.18188158772219</v>
      </c>
      <c r="GD75" s="34">
        <f t="shared" si="21"/>
        <v>577.33523625321106</v>
      </c>
      <c r="GE75" s="55">
        <f t="shared" si="22"/>
        <v>22.236687483707517</v>
      </c>
      <c r="GF75" s="55">
        <f t="shared" si="23"/>
        <v>-78.590940793861094</v>
      </c>
      <c r="GG75" s="34">
        <f t="shared" si="24"/>
        <v>81.676228151845095</v>
      </c>
      <c r="GH75" s="30">
        <f t="shared" si="25"/>
        <v>121.22113726798747</v>
      </c>
      <c r="GI75" s="30">
        <f t="shared" si="58"/>
        <v>-3.7098861085309336</v>
      </c>
      <c r="GJ75" s="34">
        <f t="shared" si="26"/>
        <v>121.27789318537212</v>
      </c>
      <c r="GK75" s="34">
        <f t="shared" si="27"/>
        <v>22.236687483707517</v>
      </c>
      <c r="GL75" s="34">
        <f t="shared" si="28"/>
        <v>-163.47357710953861</v>
      </c>
      <c r="GM75" s="34">
        <f t="shared" si="29"/>
        <v>164.97903104102758</v>
      </c>
      <c r="GN75" s="55">
        <f t="shared" si="59"/>
        <v>1155.5266250325849</v>
      </c>
      <c r="GO75" s="55">
        <f t="shared" si="60"/>
        <v>157.18188158772219</v>
      </c>
      <c r="GP75" s="34">
        <f t="shared" si="30"/>
        <v>1166.1680518084231</v>
      </c>
      <c r="GQ75" s="55">
        <f t="shared" si="31"/>
        <v>44.473374967415033</v>
      </c>
      <c r="GR75" s="55">
        <f t="shared" si="32"/>
        <v>-157.18188158772219</v>
      </c>
      <c r="GS75" s="34">
        <f t="shared" si="33"/>
        <v>163.35245630369019</v>
      </c>
      <c r="GT75" s="56">
        <f t="shared" si="34"/>
        <v>1090.8910588961301</v>
      </c>
      <c r="GU75" s="56">
        <f t="shared" si="35"/>
        <v>2.9751897311639937</v>
      </c>
      <c r="GV75" s="34">
        <f t="shared" si="36"/>
        <v>1090.8951160095348</v>
      </c>
      <c r="GW75" s="30">
        <f t="shared" si="37"/>
        <v>109.10894114387116</v>
      </c>
      <c r="GX75" s="30">
        <f t="shared" si="3"/>
        <v>-2.9751897308973128</v>
      </c>
      <c r="GY75" s="34">
        <f t="shared" si="38"/>
        <v>109.14949744030697</v>
      </c>
      <c r="GZ75" s="34">
        <f t="shared" si="61"/>
        <v>600.00000004000117</v>
      </c>
      <c r="HA75" s="34">
        <f t="shared" si="62"/>
        <v>2.6668578456678915E-10</v>
      </c>
      <c r="HB75" s="34">
        <f t="shared" si="39"/>
        <v>600.00000004000117</v>
      </c>
      <c r="HC75" s="33">
        <f t="shared" si="63"/>
        <v>0.18184823522765947</v>
      </c>
      <c r="HD75" s="33">
        <f t="shared" si="64"/>
        <v>-4.9586495512457616E-3</v>
      </c>
      <c r="HE75" s="33">
        <f t="shared" si="67"/>
        <v>0.18191582905505019</v>
      </c>
      <c r="HF75" s="33">
        <f t="shared" si="65"/>
        <v>0.10001000054007234</v>
      </c>
      <c r="HG75" s="33">
        <f t="shared" si="66"/>
        <v>-3.0000598416121066E-3</v>
      </c>
      <c r="HH75" s="33">
        <f t="shared" si="42"/>
        <v>0.10005498771714744</v>
      </c>
      <c r="HI75" s="30">
        <f t="shared" si="56"/>
        <v>6.6270453395494361E-3</v>
      </c>
      <c r="HJ75" s="30">
        <f t="shared" si="43"/>
        <v>-2.6421971414563965E-2</v>
      </c>
      <c r="HK75" s="33">
        <f t="shared" si="44"/>
        <v>2.7240380015052641E-2</v>
      </c>
      <c r="HL75" s="61">
        <f t="shared" si="45"/>
        <v>1.5462380970792634E-3</v>
      </c>
      <c r="HM75" s="61">
        <f t="shared" si="46"/>
        <v>-1.3929772896203075E-2</v>
      </c>
      <c r="HN75" s="33">
        <f t="shared" si="47"/>
        <v>1.4015328222794252E-2</v>
      </c>
      <c r="HO75" s="30">
        <f t="shared" si="48"/>
        <v>-19.99522514024699</v>
      </c>
      <c r="HP75" s="30">
        <f t="shared" si="49"/>
        <v>17.072709404547378</v>
      </c>
      <c r="HQ75" s="29">
        <v>15000</v>
      </c>
      <c r="HR75" s="30">
        <v>94247.779607693796</v>
      </c>
      <c r="HS75" s="30">
        <f t="shared" si="50"/>
        <v>-37.067934544794369</v>
      </c>
      <c r="HT75" s="30">
        <f t="shared" si="51"/>
        <v>-37.067934542192006</v>
      </c>
      <c r="HU75" s="30">
        <f t="shared" si="52"/>
        <v>2.6023627697213669E-9</v>
      </c>
      <c r="HV75" s="30">
        <f t="shared" si="53"/>
        <v>-17.15529761856758</v>
      </c>
      <c r="HW75" s="30">
        <f t="shared" si="9"/>
        <v>-17.155297178949954</v>
      </c>
      <c r="HX75" s="73">
        <f t="shared" si="10"/>
        <v>4.0001168599701487E-8</v>
      </c>
      <c r="HY75" s="30">
        <f t="shared" si="54"/>
        <v>-8.2588216622564659E-2</v>
      </c>
      <c r="HZ75" s="74">
        <f t="shared" si="55"/>
        <v>-4.3961762585809083E-7</v>
      </c>
    </row>
    <row r="76" spans="5:234" ht="15" customHeight="1">
      <c r="I76" s="169">
        <f>AJ47/AJ34</f>
        <v>0.125</v>
      </c>
      <c r="J76" s="169"/>
      <c r="K76" s="169"/>
      <c r="L76" s="169"/>
      <c r="N76" s="30" t="s">
        <v>69</v>
      </c>
      <c r="FT76" s="29">
        <v>17000</v>
      </c>
      <c r="FU76" s="27">
        <f t="shared" si="12"/>
        <v>106814.15022205297</v>
      </c>
      <c r="FV76" s="30">
        <f t="shared" si="13"/>
        <v>490.89505203047713</v>
      </c>
      <c r="FW76" s="30">
        <f t="shared" si="14"/>
        <v>2.6251887641734277</v>
      </c>
      <c r="FX76" s="34">
        <f t="shared" si="15"/>
        <v>490.90207141959831</v>
      </c>
      <c r="FY76" s="30">
        <f t="shared" si="16"/>
        <v>7.0194393068709771E-3</v>
      </c>
      <c r="FZ76" s="30">
        <f t="shared" si="17"/>
        <v>-1.3125943820867139</v>
      </c>
      <c r="GA76" s="34">
        <f t="shared" si="18"/>
        <v>1.3126131510897585</v>
      </c>
      <c r="GB76" s="34">
        <f t="shared" si="19"/>
        <v>564.79756534324451</v>
      </c>
      <c r="GC76" s="34">
        <f t="shared" si="20"/>
        <v>141.00443038532566</v>
      </c>
      <c r="GD76" s="34">
        <f t="shared" si="21"/>
        <v>582.13275050107495</v>
      </c>
      <c r="GE76" s="55">
        <f t="shared" si="22"/>
        <v>17.601217328377746</v>
      </c>
      <c r="GF76" s="55">
        <f t="shared" si="23"/>
        <v>-70.502215192662831</v>
      </c>
      <c r="GG76" s="34">
        <f t="shared" si="24"/>
        <v>72.666121394452603</v>
      </c>
      <c r="GH76" s="30">
        <f t="shared" si="25"/>
        <v>121.21914068987724</v>
      </c>
      <c r="GI76" s="30">
        <f t="shared" si="58"/>
        <v>-3.2734395964534206</v>
      </c>
      <c r="GJ76" s="34">
        <f t="shared" si="26"/>
        <v>121.26333112851502</v>
      </c>
      <c r="GK76" s="34">
        <f t="shared" si="27"/>
        <v>17.601217328377746</v>
      </c>
      <c r="GL76" s="34">
        <f t="shared" si="28"/>
        <v>-145.39865900061358</v>
      </c>
      <c r="GM76" s="34">
        <f t="shared" si="29"/>
        <v>146.4601409620293</v>
      </c>
      <c r="GN76" s="55">
        <f t="shared" si="59"/>
        <v>1164.7975653432445</v>
      </c>
      <c r="GO76" s="55">
        <f t="shared" si="60"/>
        <v>141.00443038532566</v>
      </c>
      <c r="GP76" s="34">
        <f t="shared" si="30"/>
        <v>1173.3011623695938</v>
      </c>
      <c r="GQ76" s="55">
        <f t="shared" si="31"/>
        <v>35.202434656755493</v>
      </c>
      <c r="GR76" s="55">
        <f t="shared" si="32"/>
        <v>-141.00443038532566</v>
      </c>
      <c r="GS76" s="34">
        <f t="shared" si="33"/>
        <v>145.33224278890521</v>
      </c>
      <c r="GT76" s="56">
        <f t="shared" si="34"/>
        <v>1090.895052030477</v>
      </c>
      <c r="GU76" s="56">
        <f t="shared" si="35"/>
        <v>2.6251887641734299</v>
      </c>
      <c r="GV76" s="34">
        <f t="shared" si="36"/>
        <v>1090.8982107239083</v>
      </c>
      <c r="GW76" s="30">
        <f t="shared" si="37"/>
        <v>109.10494800066583</v>
      </c>
      <c r="GX76" s="30">
        <f t="shared" si="3"/>
        <v>-2.6251887639902254</v>
      </c>
      <c r="GY76" s="34">
        <f t="shared" si="38"/>
        <v>109.13652594010208</v>
      </c>
      <c r="GZ76" s="34">
        <f t="shared" si="61"/>
        <v>600.00000003114292</v>
      </c>
      <c r="HA76" s="34">
        <f t="shared" si="62"/>
        <v>1.8320234218549558E-10</v>
      </c>
      <c r="HB76" s="34">
        <f t="shared" si="39"/>
        <v>600.00000003114292</v>
      </c>
      <c r="HC76" s="33">
        <f t="shared" si="63"/>
        <v>0.18184157999166992</v>
      </c>
      <c r="HD76" s="33">
        <f t="shared" si="64"/>
        <v>-4.3753146064787985E-3</v>
      </c>
      <c r="HE76" s="33">
        <f t="shared" si="67"/>
        <v>0.18189420989072894</v>
      </c>
      <c r="HF76" s="33">
        <f t="shared" si="65"/>
        <v>0.10000778590675881</v>
      </c>
      <c r="HG76" s="33">
        <f t="shared" si="66"/>
        <v>-2.647118138820642E-3</v>
      </c>
      <c r="HH76" s="33">
        <f t="shared" si="42"/>
        <v>0.10004281321720705</v>
      </c>
      <c r="HI76" s="30">
        <f t="shared" si="56"/>
        <v>5.2454369387040034E-3</v>
      </c>
      <c r="HJ76" s="30">
        <f t="shared" si="43"/>
        <v>-2.365787648198445E-2</v>
      </c>
      <c r="HK76" s="33">
        <f t="shared" si="44"/>
        <v>2.4232410699613717E-2</v>
      </c>
      <c r="HL76" s="61">
        <f t="shared" si="45"/>
        <v>1.2090374863446595E-3</v>
      </c>
      <c r="HM76" s="61">
        <f t="shared" si="46"/>
        <v>-1.2332791515609015E-2</v>
      </c>
      <c r="HN76" s="33">
        <f t="shared" si="47"/>
        <v>1.2391913420084257E-2</v>
      </c>
      <c r="HO76" s="30">
        <f t="shared" si="48"/>
        <v>-19.99628208702519</v>
      </c>
      <c r="HP76" s="30">
        <f t="shared" si="49"/>
        <v>18.140950506406849</v>
      </c>
      <c r="HQ76" s="29">
        <v>17000</v>
      </c>
      <c r="HR76" s="30">
        <v>106814.15022205297</v>
      </c>
      <c r="HS76" s="30">
        <f t="shared" si="50"/>
        <v>-38.137232593432039</v>
      </c>
      <c r="HT76" s="30">
        <f t="shared" si="51"/>
        <v>-38.137232591405365</v>
      </c>
      <c r="HU76" s="30">
        <f t="shared" si="52"/>
        <v>2.0266739397811762E-9</v>
      </c>
      <c r="HV76" s="30">
        <f t="shared" si="53"/>
        <v>-18.224595667780939</v>
      </c>
      <c r="HW76" s="30">
        <f t="shared" si="9"/>
        <v>-18.224595227587624</v>
      </c>
      <c r="HX76" s="73">
        <f t="shared" si="10"/>
        <v>3.1142917578108609E-8</v>
      </c>
      <c r="HY76" s="30">
        <f t="shared" si="54"/>
        <v>-8.3645163400763778E-2</v>
      </c>
      <c r="HZ76" s="74">
        <f t="shared" si="55"/>
        <v>-4.4019331468803102E-7</v>
      </c>
    </row>
    <row r="77" spans="5:234" ht="15" customHeight="1">
      <c r="G77" s="30" t="s">
        <v>270</v>
      </c>
      <c r="I77" s="30" t="s">
        <v>271</v>
      </c>
      <c r="FT77" s="29">
        <v>20000</v>
      </c>
      <c r="FU77" s="27">
        <f t="shared" si="12"/>
        <v>125663.70614359173</v>
      </c>
      <c r="FV77" s="30">
        <f t="shared" si="13"/>
        <v>490.89894773879769</v>
      </c>
      <c r="FW77" s="30">
        <f t="shared" si="14"/>
        <v>2.2314281578624979</v>
      </c>
      <c r="FX77" s="34">
        <f t="shared" si="15"/>
        <v>490.9040192977468</v>
      </c>
      <c r="FY77" s="30">
        <f t="shared" si="16"/>
        <v>5.0715851466349464E-3</v>
      </c>
      <c r="FZ77" s="30">
        <f t="shared" si="17"/>
        <v>-1.115714078931249</v>
      </c>
      <c r="GA77" s="34">
        <f t="shared" si="18"/>
        <v>1.1157256055595859</v>
      </c>
      <c r="GB77" s="34">
        <f t="shared" si="19"/>
        <v>574.14529728719106</v>
      </c>
      <c r="GC77" s="34">
        <f t="shared" si="20"/>
        <v>121.83741615496297</v>
      </c>
      <c r="GD77" s="34">
        <f t="shared" si="21"/>
        <v>586.93030111957478</v>
      </c>
      <c r="GE77" s="55">
        <f t="shared" si="22"/>
        <v>12.927351356404468</v>
      </c>
      <c r="GF77" s="55">
        <f t="shared" si="23"/>
        <v>-60.918708077481483</v>
      </c>
      <c r="GG77" s="34">
        <f t="shared" si="24"/>
        <v>62.275239115729939</v>
      </c>
      <c r="GH77" s="30">
        <f t="shared" si="25"/>
        <v>121.21719282504736</v>
      </c>
      <c r="GI77" s="30">
        <f t="shared" si="58"/>
        <v>-2.7824325111429502</v>
      </c>
      <c r="GJ77" s="34">
        <f t="shared" si="26"/>
        <v>121.24912274760497</v>
      </c>
      <c r="GK77" s="34">
        <f t="shared" si="27"/>
        <v>12.927351356404468</v>
      </c>
      <c r="GL77" s="34">
        <f t="shared" si="28"/>
        <v>-124.58068531423962</v>
      </c>
      <c r="GM77" s="34">
        <f t="shared" si="29"/>
        <v>125.24960505509601</v>
      </c>
      <c r="GN77" s="55">
        <f t="shared" si="59"/>
        <v>1174.1452972871912</v>
      </c>
      <c r="GO77" s="55">
        <f t="shared" si="60"/>
        <v>121.83741615496297</v>
      </c>
      <c r="GP77" s="34">
        <f t="shared" si="30"/>
        <v>1180.4497173183379</v>
      </c>
      <c r="GQ77" s="55">
        <f t="shared" si="31"/>
        <v>25.854702712808933</v>
      </c>
      <c r="GR77" s="55">
        <f t="shared" si="32"/>
        <v>-121.83741615496297</v>
      </c>
      <c r="GS77" s="34">
        <f t="shared" si="33"/>
        <v>124.55047823145988</v>
      </c>
      <c r="GT77" s="56">
        <f t="shared" si="34"/>
        <v>1090.8989477387977</v>
      </c>
      <c r="GU77" s="56">
        <f t="shared" si="35"/>
        <v>2.2314281578624957</v>
      </c>
      <c r="GV77" s="34">
        <f t="shared" si="36"/>
        <v>1090.9012299237909</v>
      </c>
      <c r="GW77" s="30">
        <f t="shared" si="37"/>
        <v>109.10105228370335</v>
      </c>
      <c r="GX77" s="30">
        <f t="shared" si="3"/>
        <v>-2.2314281577499888</v>
      </c>
      <c r="GY77" s="34">
        <f t="shared" si="38"/>
        <v>109.12386943760092</v>
      </c>
      <c r="GZ77" s="34">
        <f t="shared" si="61"/>
        <v>600.00000002250101</v>
      </c>
      <c r="HA77" s="34">
        <f t="shared" si="62"/>
        <v>1.1250911313709366E-10</v>
      </c>
      <c r="HB77" s="34">
        <f t="shared" si="39"/>
        <v>600.00000002250101</v>
      </c>
      <c r="HC77" s="33">
        <f t="shared" si="63"/>
        <v>0.18183508713268576</v>
      </c>
      <c r="HD77" s="33">
        <f t="shared" si="64"/>
        <v>-3.719046929477941E-3</v>
      </c>
      <c r="HE77" s="33">
        <f t="shared" si="67"/>
        <v>0.1818731157225143</v>
      </c>
      <c r="HF77" s="33">
        <f t="shared" si="65"/>
        <v>0.10000562533113787</v>
      </c>
      <c r="HG77" s="33">
        <f t="shared" si="66"/>
        <v>-2.250055819636772E-3</v>
      </c>
      <c r="HH77" s="33">
        <f t="shared" si="42"/>
        <v>0.10003093446061276</v>
      </c>
      <c r="HI77" s="30">
        <f t="shared" si="56"/>
        <v>3.8524578754602365E-3</v>
      </c>
      <c r="HJ77" s="30">
        <f t="shared" si="43"/>
        <v>-2.0404335859351808E-2</v>
      </c>
      <c r="HK77" s="33">
        <f t="shared" si="44"/>
        <v>2.0764834541681897E-2</v>
      </c>
      <c r="HL77" s="61">
        <f t="shared" si="45"/>
        <v>8.7724003282351663E-4</v>
      </c>
      <c r="HM77" s="61">
        <f t="shared" si="46"/>
        <v>-1.0517848347296464E-2</v>
      </c>
      <c r="HN77" s="33">
        <f t="shared" si="47"/>
        <v>1.0554368002486703E-2</v>
      </c>
      <c r="HO77" s="30">
        <f t="shared" si="48"/>
        <v>-19.997313482399491</v>
      </c>
      <c r="HP77" s="30">
        <f t="shared" si="49"/>
        <v>19.534041863302441</v>
      </c>
      <c r="HQ77" s="29">
        <v>20000</v>
      </c>
      <c r="HR77" s="30">
        <v>125663.70614359173</v>
      </c>
      <c r="HS77" s="30">
        <f t="shared" si="50"/>
        <v>-39.531355345701932</v>
      </c>
      <c r="HT77" s="30">
        <f t="shared" si="51"/>
        <v>-39.53135534423722</v>
      </c>
      <c r="HU77" s="30">
        <f t="shared" si="52"/>
        <v>1.4647127954958705E-9</v>
      </c>
      <c r="HV77" s="30">
        <f t="shared" si="53"/>
        <v>-19.618718420612794</v>
      </c>
      <c r="HW77" s="30">
        <f t="shared" si="9"/>
        <v>-19.618717979857518</v>
      </c>
      <c r="HX77" s="73">
        <f t="shared" si="10"/>
        <v>2.2501012608699966E-8</v>
      </c>
      <c r="HY77" s="30">
        <f t="shared" si="54"/>
        <v>-8.4676558775065303E-2</v>
      </c>
      <c r="HZ77" s="74">
        <f t="shared" si="55"/>
        <v>-4.4075527583231633E-7</v>
      </c>
    </row>
    <row r="78" spans="5:234" ht="15" customHeight="1">
      <c r="I78" s="104">
        <f>I76*AJ34^2/1000000</f>
        <v>4.4999999999999998E-2</v>
      </c>
      <c r="J78" s="104"/>
      <c r="K78" s="104"/>
      <c r="L78" s="104"/>
      <c r="N78" s="30" t="s">
        <v>46</v>
      </c>
      <c r="FT78" s="29">
        <v>25000</v>
      </c>
      <c r="FU78" s="27">
        <f t="shared" si="12"/>
        <v>157079.63267948964</v>
      </c>
      <c r="FV78" s="30">
        <f t="shared" si="13"/>
        <v>490.90259923181605</v>
      </c>
      <c r="FW78" s="30">
        <f t="shared" si="14"/>
        <v>1.7851558048588394</v>
      </c>
      <c r="FX78" s="34">
        <f t="shared" si="15"/>
        <v>490.90584505972282</v>
      </c>
      <c r="FY78" s="30">
        <f t="shared" si="16"/>
        <v>3.2458386374486646E-3</v>
      </c>
      <c r="FZ78" s="30">
        <f t="shared" si="17"/>
        <v>-0.8925779024294197</v>
      </c>
      <c r="GA78" s="34">
        <f t="shared" si="18"/>
        <v>0.89258380411800153</v>
      </c>
      <c r="GB78" s="34">
        <f t="shared" si="19"/>
        <v>583.19225470914159</v>
      </c>
      <c r="GC78" s="34">
        <f t="shared" si="20"/>
        <v>99.005792117192073</v>
      </c>
      <c r="GD78" s="34">
        <f t="shared" si="21"/>
        <v>591.53643406428057</v>
      </c>
      <c r="GE78" s="55">
        <f t="shared" si="22"/>
        <v>8.4038726454291872</v>
      </c>
      <c r="GF78" s="55">
        <f t="shared" si="23"/>
        <v>-49.502896058596036</v>
      </c>
      <c r="GG78" s="34">
        <f t="shared" si="24"/>
        <v>50.21117200015108</v>
      </c>
      <c r="GH78" s="30">
        <f t="shared" si="25"/>
        <v>121.21536706853756</v>
      </c>
      <c r="GI78" s="30">
        <f t="shared" si="58"/>
        <v>-2.2259526481987804</v>
      </c>
      <c r="GJ78" s="34">
        <f t="shared" si="26"/>
        <v>121.23580361738162</v>
      </c>
      <c r="GK78" s="34">
        <f t="shared" si="27"/>
        <v>8.4038726454291872</v>
      </c>
      <c r="GL78" s="34">
        <f t="shared" si="28"/>
        <v>-100.43247784800255</v>
      </c>
      <c r="GM78" s="34">
        <f t="shared" si="29"/>
        <v>100.78346929000865</v>
      </c>
      <c r="GN78" s="55">
        <f t="shared" si="59"/>
        <v>1183.1922547091417</v>
      </c>
      <c r="GO78" s="55">
        <f t="shared" si="60"/>
        <v>99.005792117192073</v>
      </c>
      <c r="GP78" s="34">
        <f t="shared" si="30"/>
        <v>1187.3272752179389</v>
      </c>
      <c r="GQ78" s="55">
        <f t="shared" si="31"/>
        <v>16.807745290858371</v>
      </c>
      <c r="GR78" s="55">
        <f t="shared" si="32"/>
        <v>-99.005792117192044</v>
      </c>
      <c r="GS78" s="34">
        <f t="shared" si="33"/>
        <v>100.42234400030213</v>
      </c>
      <c r="GT78" s="56">
        <f t="shared" si="34"/>
        <v>1090.9025992318159</v>
      </c>
      <c r="GU78" s="56">
        <f t="shared" si="35"/>
        <v>1.7851558048588743</v>
      </c>
      <c r="GV78" s="34">
        <f t="shared" si="36"/>
        <v>1090.9040598476017</v>
      </c>
      <c r="GW78" s="30">
        <f t="shared" si="37"/>
        <v>109.09740078258473</v>
      </c>
      <c r="GX78" s="30">
        <f t="shared" si="3"/>
        <v>-1.7851558048012339</v>
      </c>
      <c r="GY78" s="34">
        <f t="shared" si="38"/>
        <v>109.11200501669528</v>
      </c>
      <c r="GZ78" s="34">
        <f t="shared" si="61"/>
        <v>600.00000001440083</v>
      </c>
      <c r="HA78" s="34">
        <f t="shared" si="62"/>
        <v>5.7605475944910722E-11</v>
      </c>
      <c r="HB78" s="34">
        <f t="shared" si="39"/>
        <v>600.00000001440083</v>
      </c>
      <c r="HC78" s="33">
        <f t="shared" si="63"/>
        <v>0.18182900129994348</v>
      </c>
      <c r="HD78" s="33">
        <f t="shared" si="64"/>
        <v>-2.9752596746147704E-3</v>
      </c>
      <c r="HE78" s="33">
        <f t="shared" si="67"/>
        <v>0.18185334169012743</v>
      </c>
      <c r="HF78" s="33">
        <f t="shared" si="65"/>
        <v>0.1000036002200293</v>
      </c>
      <c r="HG78" s="33">
        <f t="shared" si="66"/>
        <v>-1.8000487060817305E-3</v>
      </c>
      <c r="HH78" s="33">
        <f t="shared" si="42"/>
        <v>0.10001979920151666</v>
      </c>
      <c r="HI78" s="30">
        <f t="shared" si="56"/>
        <v>2.5043663211198859E-3</v>
      </c>
      <c r="HJ78" s="30">
        <f t="shared" si="43"/>
        <v>-1.6551984024196605E-2</v>
      </c>
      <c r="HK78" s="33">
        <f t="shared" si="44"/>
        <v>1.6740371137093084E-2</v>
      </c>
      <c r="HL78" s="61">
        <f t="shared" si="45"/>
        <v>5.6367792059291749E-4</v>
      </c>
      <c r="HM78" s="61">
        <f t="shared" si="46"/>
        <v>-8.4407227598022865E-3</v>
      </c>
      <c r="HN78" s="33">
        <f t="shared" si="47"/>
        <v>8.4595232434226623E-3</v>
      </c>
      <c r="HO78" s="30">
        <f t="shared" si="48"/>
        <v>-19.998280433431653</v>
      </c>
      <c r="HP78" s="30">
        <f t="shared" si="49"/>
        <v>21.45480180692676</v>
      </c>
      <c r="HQ78" s="29">
        <v>25000</v>
      </c>
      <c r="HR78" s="30">
        <v>157079.63267948964</v>
      </c>
      <c r="HS78" s="30">
        <f t="shared" si="50"/>
        <v>-41.453082240358412</v>
      </c>
      <c r="HT78" s="30">
        <f t="shared" si="51"/>
        <v>-41.453082239420745</v>
      </c>
      <c r="HU78" s="30">
        <f t="shared" si="52"/>
        <v>9.3766772124581621E-10</v>
      </c>
      <c r="HV78" s="30">
        <f t="shared" si="53"/>
        <v>-21.540445315796319</v>
      </c>
      <c r="HW78" s="30">
        <f t="shared" si="9"/>
        <v>-21.540444874513998</v>
      </c>
      <c r="HX78" s="73">
        <f t="shared" si="10"/>
        <v>1.4400825421034824E-8</v>
      </c>
      <c r="HY78" s="30">
        <f t="shared" si="54"/>
        <v>-8.5643509807226792E-2</v>
      </c>
      <c r="HZ78" s="74">
        <f t="shared" si="55"/>
        <v>-4.4128232090656638E-7</v>
      </c>
    </row>
    <row r="79" spans="5:234" ht="15" customHeight="1">
      <c r="FT79" s="29">
        <v>30000</v>
      </c>
      <c r="FU79" s="27">
        <f t="shared" si="12"/>
        <v>188495.55921538759</v>
      </c>
      <c r="FV79" s="30">
        <f t="shared" si="13"/>
        <v>490.90458278165664</v>
      </c>
      <c r="FW79" s="30">
        <f t="shared" si="14"/>
        <v>1.4876358483261494</v>
      </c>
      <c r="FX79" s="34">
        <f t="shared" si="15"/>
        <v>490.90683684019882</v>
      </c>
      <c r="FY79" s="30">
        <f t="shared" si="16"/>
        <v>2.2540637171128033E-3</v>
      </c>
      <c r="FZ79" s="30">
        <f t="shared" si="17"/>
        <v>-0.74381792416307468</v>
      </c>
      <c r="GA79" s="34">
        <f t="shared" si="18"/>
        <v>0.74382133950936524</v>
      </c>
      <c r="GB79" s="34">
        <f t="shared" si="19"/>
        <v>588.22718525227435</v>
      </c>
      <c r="GC79" s="34">
        <f t="shared" si="20"/>
        <v>83.217123727939097</v>
      </c>
      <c r="GD79" s="34">
        <f t="shared" si="21"/>
        <v>594.08443099559906</v>
      </c>
      <c r="GE79" s="55">
        <f t="shared" si="22"/>
        <v>5.8864073738628271</v>
      </c>
      <c r="GF79" s="55">
        <f t="shared" si="23"/>
        <v>-41.608561863969548</v>
      </c>
      <c r="GG79" s="34">
        <f t="shared" si="24"/>
        <v>42.022877247504695</v>
      </c>
      <c r="GH79" s="30">
        <f t="shared" si="25"/>
        <v>121.21437528818478</v>
      </c>
      <c r="GI79" s="30">
        <f t="shared" si="58"/>
        <v>-1.854963545637542</v>
      </c>
      <c r="GJ79" s="34">
        <f t="shared" si="26"/>
        <v>121.22856786360444</v>
      </c>
      <c r="GK79" s="34">
        <f t="shared" si="27"/>
        <v>5.8864073738628271</v>
      </c>
      <c r="GL79" s="34">
        <f t="shared" si="28"/>
        <v>-84.049880021808306</v>
      </c>
      <c r="GM79" s="34">
        <f t="shared" si="29"/>
        <v>84.255754245341834</v>
      </c>
      <c r="GN79" s="55">
        <f t="shared" si="59"/>
        <v>1188.2271852522745</v>
      </c>
      <c r="GO79" s="55">
        <f t="shared" si="60"/>
        <v>83.217123727939097</v>
      </c>
      <c r="GP79" s="34">
        <f t="shared" si="30"/>
        <v>1191.1376635192482</v>
      </c>
      <c r="GQ79" s="55">
        <f t="shared" si="31"/>
        <v>11.772814747725652</v>
      </c>
      <c r="GR79" s="55">
        <f t="shared" si="32"/>
        <v>-83.217123727939097</v>
      </c>
      <c r="GS79" s="34">
        <f t="shared" si="33"/>
        <v>84.04575449500939</v>
      </c>
      <c r="GT79" s="56">
        <f t="shared" si="34"/>
        <v>1090.9045827816567</v>
      </c>
      <c r="GU79" s="56">
        <f t="shared" si="35"/>
        <v>1.4876358483261498</v>
      </c>
      <c r="GV79" s="34">
        <f t="shared" si="36"/>
        <v>1090.9055971047346</v>
      </c>
      <c r="GW79" s="30">
        <f t="shared" si="37"/>
        <v>109.09541722834385</v>
      </c>
      <c r="GX79" s="30">
        <f t="shared" si="3"/>
        <v>-1.4876358482928127</v>
      </c>
      <c r="GY79" s="34">
        <f t="shared" si="38"/>
        <v>109.10555953132521</v>
      </c>
      <c r="GZ79" s="34">
        <f t="shared" si="61"/>
        <v>600.00000001000046</v>
      </c>
      <c r="HA79" s="34">
        <f t="shared" si="62"/>
        <v>3.3336666760419575E-11</v>
      </c>
      <c r="HB79" s="34">
        <f t="shared" si="39"/>
        <v>600.00000001000046</v>
      </c>
      <c r="HC79" s="33">
        <f t="shared" si="63"/>
        <v>0.18182569537754237</v>
      </c>
      <c r="HD79" s="33">
        <f t="shared" si="64"/>
        <v>-2.4793930804567982E-3</v>
      </c>
      <c r="HE79" s="33">
        <f t="shared" si="67"/>
        <v>0.1818425992158445</v>
      </c>
      <c r="HF79" s="33">
        <f t="shared" si="65"/>
        <v>0.10000250015585412</v>
      </c>
      <c r="HG79" s="33">
        <f t="shared" si="66"/>
        <v>-1.500042421909683E-3</v>
      </c>
      <c r="HH79" s="33">
        <f t="shared" si="42"/>
        <v>0.10001374987814991</v>
      </c>
      <c r="HI79" s="30">
        <f t="shared" si="56"/>
        <v>1.7541361547051013E-3</v>
      </c>
      <c r="HJ79" s="30">
        <f t="shared" si="43"/>
        <v>-1.3899300250199722E-2</v>
      </c>
      <c r="HK79" s="33">
        <f t="shared" si="44"/>
        <v>1.4009551780640438E-2</v>
      </c>
      <c r="HL79" s="61">
        <f t="shared" si="45"/>
        <v>3.9229488416462385E-4</v>
      </c>
      <c r="HM79" s="61">
        <f t="shared" si="46"/>
        <v>-7.0459806895056664E-3</v>
      </c>
      <c r="HN79" s="33">
        <f t="shared" si="47"/>
        <v>7.056893024060127E-3</v>
      </c>
      <c r="HO79" s="30">
        <f t="shared" si="48"/>
        <v>-19.998805782858348</v>
      </c>
      <c r="HP79" s="30">
        <f t="shared" si="49"/>
        <v>23.028923538126868</v>
      </c>
      <c r="HQ79" s="29">
        <v>30000</v>
      </c>
      <c r="HR79" s="30">
        <v>188495.55921538759</v>
      </c>
      <c r="HS79" s="30">
        <f t="shared" si="50"/>
        <v>-43.027729320985216</v>
      </c>
      <c r="HT79" s="30">
        <f t="shared" si="51"/>
        <v>-43.027729320333954</v>
      </c>
      <c r="HU79" s="30">
        <f t="shared" si="52"/>
        <v>6.5126215531563503E-10</v>
      </c>
      <c r="HV79" s="30">
        <f t="shared" si="53"/>
        <v>-23.115092396709528</v>
      </c>
      <c r="HW79" s="30">
        <f t="shared" si="9"/>
        <v>-23.115091955140802</v>
      </c>
      <c r="HX79" s="73">
        <f t="shared" si="10"/>
        <v>1.0000462680181954E-8</v>
      </c>
      <c r="HY79" s="30">
        <f t="shared" si="54"/>
        <v>-8.6168859233922035E-2</v>
      </c>
      <c r="HZ79" s="74">
        <f t="shared" si="55"/>
        <v>-4.4156872647249656E-7</v>
      </c>
    </row>
    <row r="80" spans="5:234" ht="15" customHeight="1">
      <c r="FT80" s="29">
        <v>40000</v>
      </c>
      <c r="FU80" s="27">
        <f t="shared" si="12"/>
        <v>251327.41228718346</v>
      </c>
      <c r="FV80" s="30">
        <f t="shared" si="13"/>
        <v>490.90655507722113</v>
      </c>
      <c r="FW80" s="30">
        <f t="shared" si="14"/>
        <v>1.115731368873754</v>
      </c>
      <c r="FX80" s="34">
        <f t="shared" si="15"/>
        <v>490.90782299151869</v>
      </c>
      <c r="FY80" s="30">
        <f t="shared" si="16"/>
        <v>1.2679159349309173E-3</v>
      </c>
      <c r="FZ80" s="30">
        <f t="shared" si="17"/>
        <v>-0.55786568443687701</v>
      </c>
      <c r="GA80" s="34">
        <f t="shared" si="18"/>
        <v>0.55786712529332949</v>
      </c>
      <c r="GB80" s="34">
        <f t="shared" si="19"/>
        <v>593.32045216746508</v>
      </c>
      <c r="GC80" s="34">
        <f t="shared" si="20"/>
        <v>62.95325519998034</v>
      </c>
      <c r="GD80" s="34">
        <f t="shared" si="21"/>
        <v>596.65087890698612</v>
      </c>
      <c r="GE80" s="55">
        <f t="shared" si="22"/>
        <v>3.3397739162674784</v>
      </c>
      <c r="GF80" s="55">
        <f t="shared" si="23"/>
        <v>-31.47662759999017</v>
      </c>
      <c r="GG80" s="34">
        <f t="shared" si="24"/>
        <v>31.653312226056904</v>
      </c>
      <c r="GH80" s="30">
        <f t="shared" si="25"/>
        <v>121.21338913500102</v>
      </c>
      <c r="GI80" s="30">
        <f t="shared" si="58"/>
        <v>-1.3912249005427277</v>
      </c>
      <c r="GJ80" s="34">
        <f t="shared" si="26"/>
        <v>121.22137275380557</v>
      </c>
      <c r="GK80" s="34">
        <f t="shared" si="27"/>
        <v>3.3397739162674784</v>
      </c>
      <c r="GL80" s="34">
        <f t="shared" si="28"/>
        <v>-63.307616218369233</v>
      </c>
      <c r="GM80" s="34">
        <f t="shared" si="29"/>
        <v>63.395649385932686</v>
      </c>
      <c r="GN80" s="55">
        <f t="shared" si="59"/>
        <v>1193.3204521674652</v>
      </c>
      <c r="GO80" s="55">
        <f t="shared" si="60"/>
        <v>62.95325519998034</v>
      </c>
      <c r="GP80" s="34">
        <f t="shared" si="30"/>
        <v>1194.9798382824029</v>
      </c>
      <c r="GQ80" s="55">
        <f t="shared" si="31"/>
        <v>6.6795478325349569</v>
      </c>
      <c r="GR80" s="55">
        <f t="shared" si="32"/>
        <v>-62.95325519998034</v>
      </c>
      <c r="GS80" s="34">
        <f t="shared" si="33"/>
        <v>63.306624452113809</v>
      </c>
      <c r="GT80" s="56">
        <f t="shared" si="34"/>
        <v>1090.9065550772214</v>
      </c>
      <c r="GU80" s="56">
        <f t="shared" si="35"/>
        <v>1.1157313688737602</v>
      </c>
      <c r="GV80" s="34">
        <f t="shared" si="36"/>
        <v>1090.9071256376219</v>
      </c>
      <c r="GW80" s="30">
        <f t="shared" si="37"/>
        <v>109.09344492840425</v>
      </c>
      <c r="GX80" s="30">
        <f t="shared" si="3"/>
        <v>-1.1157313688596904</v>
      </c>
      <c r="GY80" s="34">
        <f t="shared" si="38"/>
        <v>109.09915023882738</v>
      </c>
      <c r="GZ80" s="34">
        <f t="shared" si="61"/>
        <v>600.00000000562534</v>
      </c>
      <c r="HA80" s="34">
        <f t="shared" si="62"/>
        <v>1.4063639142136708E-11</v>
      </c>
      <c r="HB80" s="34">
        <f t="shared" si="39"/>
        <v>600.00000000562534</v>
      </c>
      <c r="HC80" s="33">
        <f t="shared" si="63"/>
        <v>0.18182240821230236</v>
      </c>
      <c r="HD80" s="33">
        <f t="shared" si="64"/>
        <v>-1.8595522814196445E-3</v>
      </c>
      <c r="HE80" s="33">
        <f t="shared" si="67"/>
        <v>0.18183191706300755</v>
      </c>
      <c r="HF80" s="33">
        <f t="shared" si="65"/>
        <v>0.10000140633937714</v>
      </c>
      <c r="HG80" s="33">
        <f t="shared" si="66"/>
        <v>-1.1250331837535286E-3</v>
      </c>
      <c r="HH80" s="33">
        <f t="shared" si="42"/>
        <v>0.10000773454847263</v>
      </c>
      <c r="HI80" s="30">
        <f t="shared" si="56"/>
        <v>9.9523279306558648E-4</v>
      </c>
      <c r="HJ80" s="30">
        <f t="shared" si="43"/>
        <v>-1.0504881277673021E-2</v>
      </c>
      <c r="HK80" s="33">
        <f t="shared" si="44"/>
        <v>1.0551920155611409E-2</v>
      </c>
      <c r="HL80" s="61">
        <f t="shared" si="45"/>
        <v>2.2114442038149111E-4</v>
      </c>
      <c r="HM80" s="61">
        <f t="shared" si="46"/>
        <v>-5.2935073024707215E-3</v>
      </c>
      <c r="HN80" s="33">
        <f t="shared" si="47"/>
        <v>5.2981246131038407E-3</v>
      </c>
      <c r="HO80" s="30">
        <f t="shared" si="48"/>
        <v>-19.999328211635227</v>
      </c>
      <c r="HP80" s="30">
        <f t="shared" si="49"/>
        <v>25.518228412991537</v>
      </c>
      <c r="HQ80" s="29">
        <v>40000</v>
      </c>
      <c r="HR80" s="30">
        <v>251327.41228718346</v>
      </c>
      <c r="HS80" s="30">
        <f t="shared" si="50"/>
        <v>-45.517556624626764</v>
      </c>
      <c r="HT80" s="30">
        <f t="shared" si="51"/>
        <v>-45.517556624260386</v>
      </c>
      <c r="HU80" s="30">
        <f t="shared" si="52"/>
        <v>3.6637715083998046E-10</v>
      </c>
      <c r="HV80" s="30">
        <f t="shared" si="53"/>
        <v>-25.604919700635961</v>
      </c>
      <c r="HW80" s="30">
        <f t="shared" si="9"/>
        <v>-25.604919258782349</v>
      </c>
      <c r="HX80" s="73">
        <f t="shared" si="10"/>
        <v>5.6253384173032828E-9</v>
      </c>
      <c r="HY80" s="30">
        <f t="shared" si="54"/>
        <v>-8.669128801080106E-2</v>
      </c>
      <c r="HZ80" s="74">
        <f t="shared" si="55"/>
        <v>-4.4185361147697222E-7</v>
      </c>
    </row>
    <row r="81" spans="176:234" ht="15" customHeight="1">
      <c r="FT81" s="29">
        <v>50000</v>
      </c>
      <c r="FU81" s="27">
        <f t="shared" si="12"/>
        <v>314159.26535897929</v>
      </c>
      <c r="FV81" s="30">
        <f t="shared" si="13"/>
        <v>490.90746797367626</v>
      </c>
      <c r="FW81" s="30">
        <f t="shared" si="14"/>
        <v>0.89258675496229256</v>
      </c>
      <c r="FX81" s="34">
        <f t="shared" si="15"/>
        <v>490.90827944071299</v>
      </c>
      <c r="FY81" s="30">
        <f t="shared" si="16"/>
        <v>8.1146770736928127E-4</v>
      </c>
      <c r="FZ81" s="30">
        <f t="shared" si="17"/>
        <v>-0.44629337748114628</v>
      </c>
      <c r="GA81" s="34">
        <f t="shared" si="18"/>
        <v>0.44629411520136475</v>
      </c>
      <c r="GB81" s="34">
        <f t="shared" si="19"/>
        <v>595.70788776579502</v>
      </c>
      <c r="GC81" s="34">
        <f t="shared" si="20"/>
        <v>50.565255987604417</v>
      </c>
      <c r="GD81" s="34">
        <f t="shared" si="21"/>
        <v>597.85009212968851</v>
      </c>
      <c r="GE81" s="55">
        <f t="shared" si="22"/>
        <v>2.1460561171024808</v>
      </c>
      <c r="GF81" s="55">
        <f t="shared" si="23"/>
        <v>-25.282627993802208</v>
      </c>
      <c r="GG81" s="34">
        <f t="shared" si="24"/>
        <v>25.373545970769321</v>
      </c>
      <c r="GH81" s="30">
        <f t="shared" si="25"/>
        <v>121.2129326842733</v>
      </c>
      <c r="GI81" s="30">
        <f t="shared" si="58"/>
        <v>-1.1129807503658267</v>
      </c>
      <c r="GJ81" s="34">
        <f t="shared" si="26"/>
        <v>121.21804228774219</v>
      </c>
      <c r="GK81" s="34">
        <f t="shared" si="27"/>
        <v>2.1460561171024808</v>
      </c>
      <c r="GL81" s="34">
        <f t="shared" si="28"/>
        <v>-50.747418888505464</v>
      </c>
      <c r="GM81" s="34">
        <f t="shared" si="29"/>
        <v>50.792775871212179</v>
      </c>
      <c r="GN81" s="55">
        <f t="shared" si="59"/>
        <v>1195.707887765795</v>
      </c>
      <c r="GO81" s="55">
        <f t="shared" si="60"/>
        <v>50.565255987604417</v>
      </c>
      <c r="GP81" s="34">
        <f t="shared" si="30"/>
        <v>1196.776586493248</v>
      </c>
      <c r="GQ81" s="55">
        <f t="shared" si="31"/>
        <v>4.2921122342049616</v>
      </c>
      <c r="GR81" s="55">
        <f t="shared" si="32"/>
        <v>-50.565255987604417</v>
      </c>
      <c r="GS81" s="34">
        <f t="shared" si="33"/>
        <v>50.747091941538642</v>
      </c>
      <c r="GT81" s="56">
        <f t="shared" si="34"/>
        <v>1090.9074679736764</v>
      </c>
      <c r="GU81" s="56">
        <f t="shared" si="35"/>
        <v>0.892586754962295</v>
      </c>
      <c r="GV81" s="34">
        <f t="shared" si="36"/>
        <v>1090.9078331334197</v>
      </c>
      <c r="GW81" s="30">
        <f t="shared" si="37"/>
        <v>109.09253202992406</v>
      </c>
      <c r="GX81" s="30">
        <f t="shared" si="3"/>
        <v>-0.89258675495509188</v>
      </c>
      <c r="GY81" s="34">
        <f t="shared" si="38"/>
        <v>109.09618350710133</v>
      </c>
      <c r="GZ81" s="34">
        <f t="shared" si="61"/>
        <v>600.00000000360035</v>
      </c>
      <c r="HA81" s="34">
        <f t="shared" si="62"/>
        <v>7.2006844931138403E-12</v>
      </c>
      <c r="HB81" s="34">
        <f t="shared" si="39"/>
        <v>600.00000000360035</v>
      </c>
      <c r="HC81" s="33">
        <f t="shared" si="63"/>
        <v>0.18182088671544905</v>
      </c>
      <c r="HD81" s="33">
        <f t="shared" si="64"/>
        <v>-1.4876445915850754E-3</v>
      </c>
      <c r="HE81" s="33">
        <f t="shared" si="67"/>
        <v>0.18182697251074448</v>
      </c>
      <c r="HF81" s="33">
        <f t="shared" si="65"/>
        <v>0.10000090005770768</v>
      </c>
      <c r="HG81" s="33">
        <f t="shared" si="66"/>
        <v>-9.0002705330325501E-4</v>
      </c>
      <c r="HH81" s="33">
        <f t="shared" si="42"/>
        <v>0.10000495018272004</v>
      </c>
      <c r="HI81" s="30">
        <f t="shared" si="56"/>
        <v>6.3950831370524397E-4</v>
      </c>
      <c r="HJ81" s="30">
        <f t="shared" si="43"/>
        <v>-8.4340568792257188E-3</v>
      </c>
      <c r="HK81" s="33">
        <f t="shared" si="44"/>
        <v>8.4582673358858072E-3</v>
      </c>
      <c r="HL81" s="61">
        <f t="shared" si="45"/>
        <v>1.4167464177785509E-4</v>
      </c>
      <c r="HM81" s="61">
        <f t="shared" si="46"/>
        <v>-4.2381571568728153E-3</v>
      </c>
      <c r="HN81" s="33">
        <f t="shared" si="47"/>
        <v>4.2405244711562684E-3</v>
      </c>
      <c r="HO81" s="30">
        <f t="shared" si="48"/>
        <v>-19.999570043233788</v>
      </c>
      <c r="HP81" s="30">
        <f t="shared" si="49"/>
        <v>27.452038481547859</v>
      </c>
      <c r="HQ81" s="29">
        <v>50000</v>
      </c>
      <c r="HR81" s="30">
        <v>314159.26535897929</v>
      </c>
      <c r="HS81" s="30">
        <f t="shared" si="50"/>
        <v>-47.451608524781648</v>
      </c>
      <c r="HT81" s="30">
        <f t="shared" si="51"/>
        <v>-47.45160852454714</v>
      </c>
      <c r="HU81" s="30">
        <f t="shared" si="52"/>
        <v>2.3450752451026347E-10</v>
      </c>
      <c r="HV81" s="30">
        <f t="shared" si="53"/>
        <v>-27.538971600922714</v>
      </c>
      <c r="HW81" s="30">
        <f t="shared" si="9"/>
        <v>-27.538971158937233</v>
      </c>
      <c r="HX81" s="73">
        <f t="shared" si="10"/>
        <v>3.600348463805858E-9</v>
      </c>
      <c r="HY81" s="30">
        <f t="shared" si="54"/>
        <v>-8.6933119609362564E-2</v>
      </c>
      <c r="HZ81" s="74">
        <f t="shared" si="55"/>
        <v>-4.4198548110330194E-7</v>
      </c>
    </row>
    <row r="82" spans="176:234" ht="15" customHeight="1">
      <c r="FT82" s="29">
        <v>60000</v>
      </c>
      <c r="FU82" s="27">
        <f t="shared" si="12"/>
        <v>376991.11843077518</v>
      </c>
      <c r="FV82" s="30">
        <f t="shared" si="13"/>
        <v>490.90796386947</v>
      </c>
      <c r="FW82" s="30">
        <f t="shared" si="14"/>
        <v>0.74382304718251047</v>
      </c>
      <c r="FX82" s="34">
        <f t="shared" si="15"/>
        <v>490.90852738895705</v>
      </c>
      <c r="FY82" s="30">
        <f t="shared" si="16"/>
        <v>5.6351981047407453E-4</v>
      </c>
      <c r="FZ82" s="30">
        <f t="shared" si="17"/>
        <v>-0.37191152359125523</v>
      </c>
      <c r="GA82" s="34">
        <f t="shared" si="18"/>
        <v>0.37191195051321702</v>
      </c>
      <c r="GB82" s="34">
        <f t="shared" si="19"/>
        <v>597.01283716979196</v>
      </c>
      <c r="GC82" s="34">
        <f t="shared" si="20"/>
        <v>42.23001961106187</v>
      </c>
      <c r="GD82" s="34">
        <f t="shared" si="21"/>
        <v>598.50455495499386</v>
      </c>
      <c r="GE82" s="55">
        <f t="shared" si="22"/>
        <v>1.493581415104039</v>
      </c>
      <c r="GF82" s="55">
        <f t="shared" si="23"/>
        <v>-21.115009805530935</v>
      </c>
      <c r="GG82" s="34">
        <f t="shared" si="24"/>
        <v>21.167768529800483</v>
      </c>
      <c r="GH82" s="30">
        <f t="shared" si="25"/>
        <v>121.2126847350183</v>
      </c>
      <c r="GI82" s="30">
        <f t="shared" si="58"/>
        <v>-0.92748433432848898</v>
      </c>
      <c r="GJ82" s="34">
        <f t="shared" si="26"/>
        <v>121.21623310374467</v>
      </c>
      <c r="GK82" s="34">
        <f t="shared" si="27"/>
        <v>1.493581415104039</v>
      </c>
      <c r="GL82" s="34">
        <f t="shared" si="28"/>
        <v>-42.335668884450314</v>
      </c>
      <c r="GM82" s="34">
        <f t="shared" si="29"/>
        <v>42.362007097602906</v>
      </c>
      <c r="GN82" s="55">
        <f t="shared" si="59"/>
        <v>1197.012837169792</v>
      </c>
      <c r="GO82" s="55">
        <f t="shared" si="60"/>
        <v>42.23001961106187</v>
      </c>
      <c r="GP82" s="34">
        <f t="shared" si="30"/>
        <v>1197.7575326023316</v>
      </c>
      <c r="GQ82" s="55">
        <f t="shared" si="31"/>
        <v>2.9871628302080779</v>
      </c>
      <c r="GR82" s="55">
        <f t="shared" si="32"/>
        <v>-42.230019611061863</v>
      </c>
      <c r="GS82" s="34">
        <f t="shared" si="33"/>
        <v>42.335537059600959</v>
      </c>
      <c r="GT82" s="56">
        <f t="shared" si="34"/>
        <v>1090.90796386947</v>
      </c>
      <c r="GU82" s="56">
        <f t="shared" si="35"/>
        <v>0.74382304718251646</v>
      </c>
      <c r="GV82" s="34">
        <f t="shared" si="36"/>
        <v>1090.9082174530349</v>
      </c>
      <c r="GW82" s="30">
        <f t="shared" si="37"/>
        <v>109.09203613303019</v>
      </c>
      <c r="GX82" s="30">
        <f t="shared" si="3"/>
        <v>-0.74382304717834347</v>
      </c>
      <c r="GY82" s="34">
        <f t="shared" si="38"/>
        <v>109.09457191068618</v>
      </c>
      <c r="GZ82" s="34">
        <f t="shared" si="61"/>
        <v>600.0000000025002</v>
      </c>
      <c r="HA82" s="34">
        <f t="shared" si="62"/>
        <v>4.1670000783256E-12</v>
      </c>
      <c r="HB82" s="34">
        <f t="shared" si="39"/>
        <v>600.0000000025002</v>
      </c>
      <c r="HC82" s="33">
        <f t="shared" si="63"/>
        <v>0.18182006022095934</v>
      </c>
      <c r="HD82" s="33">
        <f t="shared" si="64"/>
        <v>-1.2397050786266692E-3</v>
      </c>
      <c r="HE82" s="33">
        <f t="shared" si="67"/>
        <v>0.18182428651705262</v>
      </c>
      <c r="HF82" s="33">
        <f t="shared" si="65"/>
        <v>0.10000062504026579</v>
      </c>
      <c r="HG82" s="33">
        <f t="shared" si="66"/>
        <v>-7.5002277360907386E-4</v>
      </c>
      <c r="HH82" s="33">
        <f t="shared" si="42"/>
        <v>0.1000034376539365</v>
      </c>
      <c r="HI82" s="30">
        <f t="shared" si="56"/>
        <v>4.4507445613267151E-4</v>
      </c>
      <c r="HJ82" s="30">
        <f t="shared" si="43"/>
        <v>-7.042114661200004E-3</v>
      </c>
      <c r="HK82" s="33">
        <f t="shared" si="44"/>
        <v>7.0561654014762035E-3</v>
      </c>
      <c r="HL82" s="61">
        <f t="shared" si="45"/>
        <v>9.8438898457042171E-5</v>
      </c>
      <c r="HM82" s="61">
        <f t="shared" si="46"/>
        <v>-3.5333170555901113E-3</v>
      </c>
      <c r="HN82" s="33">
        <f t="shared" si="47"/>
        <v>3.5346880530045944E-3</v>
      </c>
      <c r="HO82" s="30">
        <f t="shared" si="48"/>
        <v>-19.999701414305079</v>
      </c>
      <c r="HP82" s="30">
        <f t="shared" si="49"/>
        <v>29.033276745613541</v>
      </c>
      <c r="HQ82" s="29">
        <v>60000</v>
      </c>
      <c r="HR82" s="30">
        <v>376991.11843077518</v>
      </c>
      <c r="HS82" s="30">
        <f t="shared" si="50"/>
        <v>-49.032978159918621</v>
      </c>
      <c r="HT82" s="30">
        <f t="shared" si="51"/>
        <v>-49.032978159755771</v>
      </c>
      <c r="HU82" s="30">
        <f t="shared" si="52"/>
        <v>1.6284928960885736E-10</v>
      </c>
      <c r="HV82" s="30">
        <f t="shared" si="53"/>
        <v>-29.120341236131345</v>
      </c>
      <c r="HW82" s="30">
        <f t="shared" si="9"/>
        <v>-29.120340794074206</v>
      </c>
      <c r="HX82" s="73">
        <f t="shared" si="10"/>
        <v>2.5002009351737797E-9</v>
      </c>
      <c r="HY82" s="30">
        <f t="shared" si="54"/>
        <v>-8.706449068065325E-2</v>
      </c>
      <c r="HZ82" s="74">
        <f t="shared" si="55"/>
        <v>-4.4205713933820334E-7</v>
      </c>
    </row>
    <row r="83" spans="176:234" ht="15" customHeight="1">
      <c r="FT83" s="29">
        <v>70000</v>
      </c>
      <c r="FU83" s="27">
        <f t="shared" si="12"/>
        <v>439822.97150257102</v>
      </c>
      <c r="FV83" s="30">
        <f t="shared" si="13"/>
        <v>490.90826287947732</v>
      </c>
      <c r="FW83" s="30">
        <f t="shared" si="14"/>
        <v>0.63756300020746925</v>
      </c>
      <c r="FX83" s="34">
        <f t="shared" si="15"/>
        <v>490.90867689410959</v>
      </c>
      <c r="FY83" s="30">
        <f t="shared" si="16"/>
        <v>4.1401480680856428E-4</v>
      </c>
      <c r="FZ83" s="30">
        <f t="shared" si="17"/>
        <v>-0.31878150010373463</v>
      </c>
      <c r="GA83" s="34">
        <f t="shared" si="18"/>
        <v>0.3187817689527549</v>
      </c>
      <c r="GB83" s="34">
        <f t="shared" si="19"/>
        <v>597.80244711018622</v>
      </c>
      <c r="GC83" s="34">
        <f t="shared" si="20"/>
        <v>36.245034076197143</v>
      </c>
      <c r="GD83" s="34">
        <f t="shared" si="21"/>
        <v>598.90021561701883</v>
      </c>
      <c r="GE83" s="55">
        <f t="shared" si="22"/>
        <v>1.0987764449068504</v>
      </c>
      <c r="GF83" s="55">
        <f t="shared" si="23"/>
        <v>-18.122517038098572</v>
      </c>
      <c r="GG83" s="34">
        <f t="shared" si="24"/>
        <v>18.155796139857241</v>
      </c>
      <c r="GH83" s="30">
        <f t="shared" si="25"/>
        <v>121.21253522919574</v>
      </c>
      <c r="GI83" s="30">
        <f t="shared" si="58"/>
        <v>-0.79498676644993493</v>
      </c>
      <c r="GJ83" s="34">
        <f t="shared" si="26"/>
        <v>121.2151422085865</v>
      </c>
      <c r="GK83" s="34">
        <f t="shared" si="27"/>
        <v>1.0987764449068504</v>
      </c>
      <c r="GL83" s="34">
        <f t="shared" si="28"/>
        <v>-36.311653391458037</v>
      </c>
      <c r="GM83" s="34">
        <f t="shared" si="29"/>
        <v>36.32827386068967</v>
      </c>
      <c r="GN83" s="55">
        <f t="shared" si="59"/>
        <v>1197.8024471101862</v>
      </c>
      <c r="GO83" s="55">
        <f t="shared" si="60"/>
        <v>36.245034076197143</v>
      </c>
      <c r="GP83" s="34">
        <f t="shared" si="30"/>
        <v>1198.3507019225779</v>
      </c>
      <c r="GQ83" s="55">
        <f t="shared" si="31"/>
        <v>2.1975528898137004</v>
      </c>
      <c r="GR83" s="55">
        <f t="shared" si="32"/>
        <v>-36.245034076197129</v>
      </c>
      <c r="GS83" s="34">
        <f t="shared" si="33"/>
        <v>36.311592279714475</v>
      </c>
      <c r="GT83" s="56">
        <f t="shared" si="34"/>
        <v>1090.9082628794772</v>
      </c>
      <c r="GU83" s="56">
        <f t="shared" si="35"/>
        <v>0.63756300020748569</v>
      </c>
      <c r="GV83" s="34">
        <f t="shared" si="36"/>
        <v>1090.9084491859517</v>
      </c>
      <c r="GW83" s="30">
        <f t="shared" si="37"/>
        <v>109.09173712235953</v>
      </c>
      <c r="GX83" s="30">
        <f t="shared" si="3"/>
        <v>-0.6375630002048448</v>
      </c>
      <c r="GY83" s="34">
        <f t="shared" si="38"/>
        <v>109.09360015579844</v>
      </c>
      <c r="GZ83" s="34">
        <f t="shared" si="61"/>
        <v>600.00000000183684</v>
      </c>
      <c r="HA83" s="34">
        <f t="shared" si="62"/>
        <v>2.6244562079114075E-12</v>
      </c>
      <c r="HB83" s="34">
        <f t="shared" si="39"/>
        <v>600.00000000183684</v>
      </c>
      <c r="HC83" s="33">
        <f t="shared" si="63"/>
        <v>0.18181956187004261</v>
      </c>
      <c r="HD83" s="33">
        <f t="shared" si="64"/>
        <v>-1.0626050003389503E-3</v>
      </c>
      <c r="HE83" s="33">
        <f t="shared" si="67"/>
        <v>0.18182266692577415</v>
      </c>
      <c r="HF83" s="33">
        <f t="shared" si="65"/>
        <v>0.10000045921334108</v>
      </c>
      <c r="HG83" s="33">
        <f t="shared" si="66"/>
        <v>-6.4287678154568387E-4</v>
      </c>
      <c r="HH83" s="33">
        <f t="shared" si="42"/>
        <v>0.10000252563528256</v>
      </c>
      <c r="HI83" s="30">
        <f t="shared" si="56"/>
        <v>3.2742534545509249E-4</v>
      </c>
      <c r="HJ83" s="30">
        <f t="shared" si="43"/>
        <v>-6.0432213459199824E-3</v>
      </c>
      <c r="HK83" s="33">
        <f t="shared" si="44"/>
        <v>6.0520848963501253E-3</v>
      </c>
      <c r="HL83" s="61">
        <f t="shared" si="45"/>
        <v>7.2346279477389407E-5</v>
      </c>
      <c r="HM83" s="61">
        <f t="shared" si="46"/>
        <v>-3.0293434528132516E-3</v>
      </c>
      <c r="HN83" s="33">
        <f t="shared" si="47"/>
        <v>3.030207210613943E-3</v>
      </c>
      <c r="HO83" s="30">
        <f t="shared" si="48"/>
        <v>-19.999780628876941</v>
      </c>
      <c r="HP83" s="30">
        <f t="shared" si="49"/>
        <v>30.370772825293578</v>
      </c>
      <c r="HQ83" s="29">
        <v>70000</v>
      </c>
      <c r="HR83" s="30">
        <v>439822.97150257102</v>
      </c>
      <c r="HS83" s="30">
        <f t="shared" si="50"/>
        <v>-50.370553454170519</v>
      </c>
      <c r="HT83" s="30">
        <f t="shared" si="51"/>
        <v>-50.370553454050864</v>
      </c>
      <c r="HU83" s="30">
        <f t="shared" si="52"/>
        <v>1.1965539670200087E-10</v>
      </c>
      <c r="HV83" s="30">
        <f t="shared" si="53"/>
        <v>-30.457916530426438</v>
      </c>
      <c r="HW83" s="30">
        <f t="shared" si="9"/>
        <v>-30.457916088326105</v>
      </c>
      <c r="HX83" s="73">
        <f t="shared" si="10"/>
        <v>1.8368382370681502E-9</v>
      </c>
      <c r="HY83" s="30">
        <f t="shared" si="54"/>
        <v>-8.7143705252515247E-2</v>
      </c>
      <c r="HZ83" s="74">
        <f t="shared" si="55"/>
        <v>-4.421003332311102E-7</v>
      </c>
    </row>
    <row r="84" spans="176:234" ht="15" customHeight="1">
      <c r="FT84" s="29">
        <v>80000</v>
      </c>
      <c r="FU84" s="27">
        <f t="shared" si="12"/>
        <v>502654.82457436691</v>
      </c>
      <c r="FV84" s="30">
        <f t="shared" si="13"/>
        <v>490.90845694866738</v>
      </c>
      <c r="FW84" s="30">
        <f t="shared" si="14"/>
        <v>0.55786784572155557</v>
      </c>
      <c r="FX84" s="34">
        <f t="shared" si="15"/>
        <v>490.90877392877684</v>
      </c>
      <c r="FY84" s="30">
        <f t="shared" si="16"/>
        <v>3.1698021177352853E-4</v>
      </c>
      <c r="FZ84" s="30">
        <f t="shared" si="17"/>
        <v>-0.27893392286077778</v>
      </c>
      <c r="GA84" s="34">
        <f t="shared" si="18"/>
        <v>0.27893410296870652</v>
      </c>
      <c r="GB84" s="34">
        <f t="shared" si="19"/>
        <v>598.3160530365036</v>
      </c>
      <c r="GC84" s="34">
        <f t="shared" si="20"/>
        <v>31.741652457330723</v>
      </c>
      <c r="GD84" s="34">
        <f t="shared" si="21"/>
        <v>599.15743492165916</v>
      </c>
      <c r="GE84" s="55">
        <f t="shared" si="22"/>
        <v>0.84197348174819853</v>
      </c>
      <c r="GF84" s="55">
        <f t="shared" si="23"/>
        <v>-15.870826228665361</v>
      </c>
      <c r="GG84" s="34">
        <f t="shared" si="24"/>
        <v>15.893144576340442</v>
      </c>
      <c r="GH84" s="30">
        <f t="shared" si="25"/>
        <v>121.21243819406922</v>
      </c>
      <c r="GI84" s="30">
        <f t="shared" si="58"/>
        <v>-0.69561353091370326</v>
      </c>
      <c r="GJ84" s="34">
        <f t="shared" si="26"/>
        <v>121.21443416992649</v>
      </c>
      <c r="GK84" s="34">
        <f t="shared" si="27"/>
        <v>0.84197348174819853</v>
      </c>
      <c r="GL84" s="34">
        <f t="shared" si="28"/>
        <v>-31.786320537854895</v>
      </c>
      <c r="GM84" s="34">
        <f t="shared" si="29"/>
        <v>31.797469910029367</v>
      </c>
      <c r="GN84" s="55">
        <f t="shared" si="59"/>
        <v>1198.3160530365035</v>
      </c>
      <c r="GO84" s="55">
        <f t="shared" si="60"/>
        <v>31.741652457330723</v>
      </c>
      <c r="GP84" s="34">
        <f t="shared" si="30"/>
        <v>1198.7363744650891</v>
      </c>
      <c r="GQ84" s="55">
        <f t="shared" si="31"/>
        <v>1.6839469634963971</v>
      </c>
      <c r="GR84" s="55">
        <f t="shared" si="32"/>
        <v>-31.741652457330719</v>
      </c>
      <c r="GS84" s="34">
        <f t="shared" si="33"/>
        <v>31.78628915268088</v>
      </c>
      <c r="GT84" s="56">
        <f t="shared" si="34"/>
        <v>1090.9084569486674</v>
      </c>
      <c r="GU84" s="56">
        <f t="shared" si="35"/>
        <v>0.55786784572155668</v>
      </c>
      <c r="GV84" s="34">
        <f t="shared" si="36"/>
        <v>1090.9085995896521</v>
      </c>
      <c r="GW84" s="30">
        <f t="shared" si="37"/>
        <v>109.091543052739</v>
      </c>
      <c r="GX84" s="30">
        <f t="shared" si="3"/>
        <v>-0.55786784571979786</v>
      </c>
      <c r="GY84" s="34">
        <f t="shared" si="38"/>
        <v>109.09296944423548</v>
      </c>
      <c r="GZ84" s="34">
        <f t="shared" si="61"/>
        <v>600.00000000140642</v>
      </c>
      <c r="HA84" s="34">
        <f t="shared" si="62"/>
        <v>1.7577050925865478E-12</v>
      </c>
      <c r="HB84" s="34">
        <f t="shared" si="39"/>
        <v>600.00000000140642</v>
      </c>
      <c r="HC84" s="33">
        <f t="shared" si="63"/>
        <v>0.18181923842080547</v>
      </c>
      <c r="HD84" s="33">
        <f t="shared" si="64"/>
        <v>-9.2977974286468279E-4</v>
      </c>
      <c r="HE84" s="33">
        <f t="shared" si="67"/>
        <v>0.18182161573996625</v>
      </c>
      <c r="HF84" s="33">
        <f t="shared" si="65"/>
        <v>0.10000035158525636</v>
      </c>
      <c r="HG84" s="33">
        <f t="shared" si="66"/>
        <v>-5.6251725112252036E-4</v>
      </c>
      <c r="HH84" s="33">
        <f t="shared" si="42"/>
        <v>0.10000193369546759</v>
      </c>
      <c r="HI84" s="30">
        <f t="shared" si="56"/>
        <v>2.5090010219030084E-4</v>
      </c>
      <c r="HJ84" s="30">
        <f t="shared" si="43"/>
        <v>-5.2918727580783835E-3</v>
      </c>
      <c r="HK84" s="33">
        <f t="shared" si="44"/>
        <v>5.2978173004522549E-3</v>
      </c>
      <c r="HL84" s="61">
        <f t="shared" si="45"/>
        <v>5.5401965058455099E-5</v>
      </c>
      <c r="HM84" s="61">
        <f t="shared" si="46"/>
        <v>-2.6511221281874903E-3</v>
      </c>
      <c r="HN84" s="33">
        <f t="shared" si="47"/>
        <v>2.6517009477498975E-3</v>
      </c>
      <c r="HO84" s="30">
        <f t="shared" si="48"/>
        <v>-19.999832042969633</v>
      </c>
      <c r="HP84" s="30">
        <f t="shared" si="49"/>
        <v>31.52967708030538</v>
      </c>
      <c r="HQ84" s="29">
        <v>80000</v>
      </c>
      <c r="HR84" s="30">
        <v>502654.82457436691</v>
      </c>
      <c r="HS84" s="30">
        <f t="shared" si="50"/>
        <v>-51.529509123275012</v>
      </c>
      <c r="HT84" s="30">
        <f t="shared" si="51"/>
        <v>-51.529509123183395</v>
      </c>
      <c r="HU84" s="30">
        <f t="shared" si="52"/>
        <v>9.1617380348907318E-11</v>
      </c>
      <c r="HV84" s="30">
        <f t="shared" si="53"/>
        <v>-31.616872199558969</v>
      </c>
      <c r="HW84" s="30">
        <f t="shared" si="9"/>
        <v>-31.616871757430598</v>
      </c>
      <c r="HX84" s="73">
        <f t="shared" si="10"/>
        <v>1.4064198694541119E-9</v>
      </c>
      <c r="HY84" s="30">
        <f t="shared" si="54"/>
        <v>-8.7195119345206962E-2</v>
      </c>
      <c r="HZ84" s="74">
        <f t="shared" si="55"/>
        <v>-4.4212837124746329E-7</v>
      </c>
    </row>
    <row r="85" spans="176:234" ht="15" customHeight="1">
      <c r="FT85" s="29">
        <v>90000</v>
      </c>
      <c r="FU85" s="27">
        <f t="shared" si="12"/>
        <v>565486.6776461628</v>
      </c>
      <c r="FV85" s="30">
        <f t="shared" si="13"/>
        <v>490.90859000195388</v>
      </c>
      <c r="FW85" s="30">
        <f t="shared" si="14"/>
        <v>0.49588266393170499</v>
      </c>
      <c r="FX85" s="34">
        <f t="shared" si="15"/>
        <v>490.90884045545852</v>
      </c>
      <c r="FY85" s="30">
        <f t="shared" si="16"/>
        <v>2.5045356854218581E-4</v>
      </c>
      <c r="FZ85" s="30">
        <f t="shared" si="17"/>
        <v>-0.2479413319658525</v>
      </c>
      <c r="GA85" s="34">
        <f t="shared" si="18"/>
        <v>0.24794145846145027</v>
      </c>
      <c r="GB85" s="34">
        <f t="shared" si="19"/>
        <v>598.66868981592847</v>
      </c>
      <c r="GC85" s="34">
        <f t="shared" si="20"/>
        <v>28.231431484015893</v>
      </c>
      <c r="GD85" s="34">
        <f t="shared" si="21"/>
        <v>599.33397525049179</v>
      </c>
      <c r="GE85" s="55">
        <f t="shared" si="22"/>
        <v>0.66565509203574691</v>
      </c>
      <c r="GF85" s="55">
        <f t="shared" si="23"/>
        <v>-14.115715742007946</v>
      </c>
      <c r="GG85" s="34">
        <f t="shared" si="24"/>
        <v>14.13140218133799</v>
      </c>
      <c r="GH85" s="30">
        <f t="shared" si="25"/>
        <v>121.21237166706159</v>
      </c>
      <c r="GI85" s="30">
        <f t="shared" si="58"/>
        <v>-0.6183232057906749</v>
      </c>
      <c r="GJ85" s="34">
        <f t="shared" si="26"/>
        <v>121.21394873833907</v>
      </c>
      <c r="GK85" s="34">
        <f t="shared" si="27"/>
        <v>0.66565509203574691</v>
      </c>
      <c r="GL85" s="34">
        <f t="shared" si="28"/>
        <v>-28.262821794620866</v>
      </c>
      <c r="GM85" s="34">
        <f t="shared" si="29"/>
        <v>28.270659569526305</v>
      </c>
      <c r="GN85" s="55">
        <f t="shared" si="59"/>
        <v>1198.6686898159285</v>
      </c>
      <c r="GO85" s="55">
        <f t="shared" si="60"/>
        <v>28.231431484015893</v>
      </c>
      <c r="GP85" s="34">
        <f t="shared" si="30"/>
        <v>1199.0011016127846</v>
      </c>
      <c r="GQ85" s="55">
        <f t="shared" si="31"/>
        <v>1.3313101840714938</v>
      </c>
      <c r="GR85" s="55">
        <f t="shared" si="32"/>
        <v>-28.2314314840159</v>
      </c>
      <c r="GS85" s="34">
        <f t="shared" si="33"/>
        <v>28.262804362675983</v>
      </c>
      <c r="GT85" s="56">
        <f t="shared" si="34"/>
        <v>1090.9085900019538</v>
      </c>
      <c r="GU85" s="56">
        <f t="shared" si="35"/>
        <v>0.49588266393169889</v>
      </c>
      <c r="GV85" s="34">
        <f t="shared" si="36"/>
        <v>1090.9087027059907</v>
      </c>
      <c r="GW85" s="30">
        <f t="shared" si="37"/>
        <v>109.09140999915734</v>
      </c>
      <c r="GX85" s="30">
        <f t="shared" si="3"/>
        <v>-0.49588266393047026</v>
      </c>
      <c r="GY85" s="34">
        <f t="shared" si="38"/>
        <v>109.09253702806912</v>
      </c>
      <c r="GZ85" s="34">
        <f t="shared" si="61"/>
        <v>600.00000000111118</v>
      </c>
      <c r="HA85" s="34">
        <f t="shared" si="62"/>
        <v>1.2347345368368678E-12</v>
      </c>
      <c r="HB85" s="34">
        <f t="shared" si="39"/>
        <v>600.00000000111118</v>
      </c>
      <c r="HC85" s="33">
        <f t="shared" si="63"/>
        <v>0.1818190166649255</v>
      </c>
      <c r="HD85" s="33">
        <f t="shared" si="64"/>
        <v>-8.2647110654962726E-4</v>
      </c>
      <c r="HE85" s="33">
        <f t="shared" si="67"/>
        <v>0.18182089504644516</v>
      </c>
      <c r="HF85" s="33">
        <f t="shared" si="65"/>
        <v>0.10000027779578087</v>
      </c>
      <c r="HG85" s="33">
        <f t="shared" si="66"/>
        <v>-5.0001537532680189E-4</v>
      </c>
      <c r="HH85" s="33">
        <f t="shared" si="42"/>
        <v>0.10000152786137274</v>
      </c>
      <c r="HI85" s="30">
        <f t="shared" si="56"/>
        <v>1.9835873071668084E-4</v>
      </c>
      <c r="HJ85" s="30">
        <f t="shared" si="43"/>
        <v>-4.7063611108925157E-3</v>
      </c>
      <c r="HK85" s="33">
        <f t="shared" si="44"/>
        <v>4.7105393631911166E-3</v>
      </c>
      <c r="HL85" s="61">
        <f t="shared" si="45"/>
        <v>4.3780810891139267E-5</v>
      </c>
      <c r="HM85" s="61">
        <f t="shared" si="46"/>
        <v>-2.3568252724881981E-3</v>
      </c>
      <c r="HN85" s="33">
        <f t="shared" si="47"/>
        <v>2.3572318775295217E-3</v>
      </c>
      <c r="HO85" s="30">
        <f t="shared" si="48"/>
        <v>-19.999867292661129</v>
      </c>
      <c r="HP85" s="30">
        <f t="shared" si="49"/>
        <v>32.552086596353078</v>
      </c>
      <c r="HQ85" s="29">
        <v>90000</v>
      </c>
      <c r="HR85" s="30">
        <v>565486.6776461628</v>
      </c>
      <c r="HS85" s="30">
        <f t="shared" si="50"/>
        <v>-52.551953889014207</v>
      </c>
      <c r="HT85" s="30">
        <f t="shared" si="51"/>
        <v>-52.551953888941824</v>
      </c>
      <c r="HU85" s="30">
        <f t="shared" si="52"/>
        <v>7.2382988491881406E-11</v>
      </c>
      <c r="HV85" s="30">
        <f t="shared" si="53"/>
        <v>-32.639316965317398</v>
      </c>
      <c r="HW85" s="30">
        <f t="shared" si="9"/>
        <v>-32.639316523169796</v>
      </c>
      <c r="HX85" s="73">
        <f t="shared" si="10"/>
        <v>1.1111751518910751E-9</v>
      </c>
      <c r="HY85" s="30">
        <f t="shared" si="54"/>
        <v>-8.7230369036703337E-2</v>
      </c>
      <c r="HZ85" s="74">
        <f t="shared" si="55"/>
        <v>-4.4214760208660664E-7</v>
      </c>
    </row>
    <row r="86" spans="176:234" ht="15" customHeight="1">
      <c r="FT86" s="29">
        <v>100000</v>
      </c>
      <c r="FU86" s="27">
        <f t="shared" si="12"/>
        <v>628318.53071795858</v>
      </c>
      <c r="FV86" s="30">
        <f t="shared" si="13"/>
        <v>490.90868517423127</v>
      </c>
      <c r="FW86" s="30">
        <f t="shared" si="14"/>
        <v>0.44629448406147393</v>
      </c>
      <c r="FX86" s="34">
        <f t="shared" si="15"/>
        <v>490.90888804161921</v>
      </c>
      <c r="FY86" s="30">
        <f t="shared" si="16"/>
        <v>2.0286742984900092E-4</v>
      </c>
      <c r="FZ86" s="30">
        <f t="shared" si="17"/>
        <v>-0.22314724203073696</v>
      </c>
      <c r="GA86" s="34">
        <f t="shared" si="18"/>
        <v>0.22314733424605007</v>
      </c>
      <c r="GB86" s="34">
        <f t="shared" si="19"/>
        <v>598.92118394194722</v>
      </c>
      <c r="GC86" s="34">
        <f t="shared" si="20"/>
        <v>25.419004519149652</v>
      </c>
      <c r="GD86" s="34">
        <f t="shared" si="21"/>
        <v>599.46034928522863</v>
      </c>
      <c r="GE86" s="55">
        <f t="shared" si="22"/>
        <v>0.53940802902638585</v>
      </c>
      <c r="GF86" s="55">
        <f>-(FP$12^2*FU86*FP$19)/((2*FP$12+FP$17)^2+(FU86*FP$19)^2)</f>
        <v>-12.709502259574826</v>
      </c>
      <c r="GG86" s="34">
        <f t="shared" si="24"/>
        <v>12.72094370351177</v>
      </c>
      <c r="GH86" s="30">
        <f t="shared" si="25"/>
        <v>121.21232408066224</v>
      </c>
      <c r="GI86" s="30">
        <f t="shared" si="58"/>
        <v>-0.55649092847307724</v>
      </c>
      <c r="GJ86" s="34">
        <f t="shared" si="26"/>
        <v>121.21360151067604</v>
      </c>
      <c r="GK86" s="34">
        <f t="shared" si="27"/>
        <v>0.53940802902638585</v>
      </c>
      <c r="GL86" s="34">
        <f t="shared" si="28"/>
        <v>-25.441897706926454</v>
      </c>
      <c r="GM86" s="34">
        <f t="shared" si="29"/>
        <v>25.447615211478809</v>
      </c>
      <c r="GN86" s="55">
        <f t="shared" si="59"/>
        <v>1198.9211839419472</v>
      </c>
      <c r="GO86" s="55">
        <f t="shared" si="60"/>
        <v>25.419004519149652</v>
      </c>
      <c r="GP86" s="34">
        <f t="shared" si="30"/>
        <v>1199.1906149964254</v>
      </c>
      <c r="GQ86" s="55">
        <f t="shared" si="31"/>
        <v>1.0788160580527717</v>
      </c>
      <c r="GR86" s="55">
        <f t="shared" si="32"/>
        <v>-25.419004519149652</v>
      </c>
      <c r="GS86" s="34">
        <f t="shared" si="33"/>
        <v>25.44188740702354</v>
      </c>
      <c r="GT86" s="56">
        <f t="shared" si="34"/>
        <v>1090.9086851742313</v>
      </c>
      <c r="GU86" s="56">
        <f t="shared" si="35"/>
        <v>0.44629448406147532</v>
      </c>
      <c r="GV86" s="34">
        <f t="shared" si="36"/>
        <v>1090.9087764645294</v>
      </c>
      <c r="GW86" s="30">
        <f t="shared" si="37"/>
        <v>109.09131482666884</v>
      </c>
      <c r="GX86" s="30">
        <f t="shared" si="3"/>
        <v>-0.44629448406057398</v>
      </c>
      <c r="GY86" s="34">
        <f t="shared" si="38"/>
        <v>109.0922277221337</v>
      </c>
      <c r="GZ86" s="34">
        <f t="shared" si="61"/>
        <v>600.00000000090006</v>
      </c>
      <c r="HA86" s="34">
        <f t="shared" si="62"/>
        <v>8.9994678376115189E-13</v>
      </c>
      <c r="HB86" s="34">
        <f t="shared" si="39"/>
        <v>600.00000000090006</v>
      </c>
      <c r="HC86" s="33">
        <f t="shared" si="63"/>
        <v>0.18181885804417533</v>
      </c>
      <c r="HD86" s="33">
        <f t="shared" si="64"/>
        <v>-7.4382414010011361E-4</v>
      </c>
      <c r="HE86" s="33">
        <f t="shared" si="67"/>
        <v>0.18182037953661678</v>
      </c>
      <c r="HF86" s="33">
        <f t="shared" si="65"/>
        <v>0.10000022501459568</v>
      </c>
      <c r="HG86" s="33">
        <f t="shared" si="66"/>
        <v>-4.5001386418569195E-4</v>
      </c>
      <c r="HH86" s="33">
        <f t="shared" si="42"/>
        <v>0.10000123756958074</v>
      </c>
      <c r="HI86" s="30">
        <f t="shared" si="56"/>
        <v>1.6073824017870031E-4</v>
      </c>
      <c r="HJ86" s="30">
        <f t="shared" si="43"/>
        <v>-4.2373194229083661E-3</v>
      </c>
      <c r="HK86" s="33">
        <f t="shared" si="44"/>
        <v>4.2403670446804756E-3</v>
      </c>
      <c r="HL86" s="61">
        <f t="shared" si="45"/>
        <v>3.5466176709441563E-5</v>
      </c>
      <c r="HM86" s="61">
        <f t="shared" si="46"/>
        <v>-2.1213180672051773E-3</v>
      </c>
      <c r="HN86" s="33">
        <f t="shared" si="47"/>
        <v>2.1216145248233701E-3</v>
      </c>
      <c r="HO86" s="30">
        <f t="shared" si="48"/>
        <v>-19.999892506737172</v>
      </c>
      <c r="HP86" s="30">
        <f t="shared" si="49"/>
        <v>33.466777893999009</v>
      </c>
      <c r="HQ86" s="29">
        <v>100000</v>
      </c>
      <c r="HR86" s="30">
        <v>628318.53071795858</v>
      </c>
      <c r="HS86" s="30">
        <f t="shared" si="50"/>
        <v>-53.466670400736177</v>
      </c>
      <c r="HT86" s="30">
        <f t="shared" si="51"/>
        <v>-53.466670400677536</v>
      </c>
      <c r="HU86" s="30">
        <f t="shared" si="52"/>
        <v>5.8641091982281068E-11</v>
      </c>
      <c r="HV86" s="30">
        <f t="shared" si="53"/>
        <v>-33.55403347705311</v>
      </c>
      <c r="HW86" s="30">
        <f t="shared" si="9"/>
        <v>-33.554033034891759</v>
      </c>
      <c r="HX86" s="73">
        <f t="shared" si="10"/>
        <v>9.0005869424203411E-10</v>
      </c>
      <c r="HY86" s="30">
        <f t="shared" si="54"/>
        <v>-8.7255583112746393E-2</v>
      </c>
      <c r="HZ86" s="74">
        <f t="shared" si="55"/>
        <v>-4.421613510885436E-7</v>
      </c>
    </row>
    <row r="87" spans="176:234" ht="15" customHeight="1">
      <c r="HQ87" s="29"/>
    </row>
    <row r="88" spans="176:234" ht="15" customHeight="1">
      <c r="HQ88" s="29"/>
    </row>
    <row r="89" spans="176:234" ht="15" customHeight="1">
      <c r="HQ89" s="29"/>
    </row>
    <row r="90" spans="176:234" ht="15" customHeight="1">
      <c r="HQ90" s="29"/>
    </row>
    <row r="91" spans="176:234" ht="15" customHeight="1">
      <c r="HQ91" s="29"/>
    </row>
    <row r="92" spans="176:234" ht="15" customHeight="1">
      <c r="HQ92" s="29"/>
    </row>
    <row r="93" spans="176:234" ht="15" customHeight="1">
      <c r="HQ93" s="29"/>
    </row>
    <row r="94" spans="176:234" ht="15" customHeight="1">
      <c r="HQ94" s="29"/>
    </row>
    <row r="95" spans="176:234" ht="15" customHeight="1">
      <c r="HQ95" s="29"/>
    </row>
    <row r="96" spans="176:234" ht="15" customHeight="1">
      <c r="HQ96" s="29"/>
    </row>
    <row r="97" spans="225:225" ht="15" customHeight="1">
      <c r="HQ97" s="29"/>
    </row>
    <row r="98" spans="225:225" ht="15" customHeight="1">
      <c r="HQ98" s="29"/>
    </row>
    <row r="99" spans="225:225" ht="15" customHeight="1">
      <c r="HQ99" s="29"/>
    </row>
    <row r="100" spans="225:225" ht="15" customHeight="1">
      <c r="HQ100" s="29"/>
    </row>
    <row r="101" spans="225:225" ht="15" customHeight="1">
      <c r="HQ101" s="29"/>
    </row>
    <row r="1158" spans="43:43" ht="15" customHeight="1">
      <c r="AQ1158" s="30" t="s">
        <v>0</v>
      </c>
    </row>
  </sheetData>
  <mergeCells count="485">
    <mergeCell ref="AQ12:AR12"/>
    <mergeCell ref="BV4:BW4"/>
    <mergeCell ref="BU13:BV13"/>
    <mergeCell ref="BF12:BG12"/>
    <mergeCell ref="BE6:BF6"/>
    <mergeCell ref="AV6:AW6"/>
    <mergeCell ref="AY2:AZ2"/>
    <mergeCell ref="AV21:AW21"/>
    <mergeCell ref="BA21:BC21"/>
    <mergeCell ref="BL21:BM21"/>
    <mergeCell ref="BU21:BV21"/>
    <mergeCell ref="I78:L78"/>
    <mergeCell ref="O65:P65"/>
    <mergeCell ref="I67:L67"/>
    <mergeCell ref="I68:L68"/>
    <mergeCell ref="I70:M70"/>
    <mergeCell ref="I72:L72"/>
    <mergeCell ref="I76:L76"/>
    <mergeCell ref="AU58:AX59"/>
    <mergeCell ref="AY58:AY59"/>
    <mergeCell ref="AW54:AX55"/>
    <mergeCell ref="AY54:AY55"/>
    <mergeCell ref="BS54:BS55"/>
    <mergeCell ref="AZ55:BN55"/>
    <mergeCell ref="BT55:CH55"/>
    <mergeCell ref="AZ58:BD59"/>
    <mergeCell ref="BE58:BE59"/>
    <mergeCell ref="BF58:BJ59"/>
    <mergeCell ref="AY60:AY61"/>
    <mergeCell ref="AY56:AY57"/>
    <mergeCell ref="AZ56:BO56"/>
    <mergeCell ref="BS56:BS57"/>
    <mergeCell ref="BT56:CK56"/>
    <mergeCell ref="BC57:BM57"/>
    <mergeCell ref="BV57:CG57"/>
    <mergeCell ref="BX48:CD48"/>
    <mergeCell ref="CQ48:CQ49"/>
    <mergeCell ref="CR48:CZ48"/>
    <mergeCell ref="BY49:CD49"/>
    <mergeCell ref="CR49:CZ49"/>
    <mergeCell ref="AW50:AX51"/>
    <mergeCell ref="AY50:BB51"/>
    <mergeCell ref="BC50:BC51"/>
    <mergeCell ref="BD50:BN51"/>
    <mergeCell ref="BO50:BO51"/>
    <mergeCell ref="BB48:BF49"/>
    <mergeCell ref="BG48:BG49"/>
    <mergeCell ref="BH48:BK49"/>
    <mergeCell ref="BL48:BL49"/>
    <mergeCell ref="BM48:BP49"/>
    <mergeCell ref="BW48:BW49"/>
    <mergeCell ref="BP50:BT51"/>
    <mergeCell ref="BU50:BU51"/>
    <mergeCell ref="BV50:CA51"/>
    <mergeCell ref="CB50:CB51"/>
    <mergeCell ref="CC50:CF51"/>
    <mergeCell ref="CQ46:CQ47"/>
    <mergeCell ref="AJ47:AM47"/>
    <mergeCell ref="AP47:AS47"/>
    <mergeCell ref="BH47:BN47"/>
    <mergeCell ref="BX47:CL47"/>
    <mergeCell ref="CR47:DF47"/>
    <mergeCell ref="AP45:AS45"/>
    <mergeCell ref="AY45:BF45"/>
    <mergeCell ref="BH45:BV45"/>
    <mergeCell ref="BX45:CL45"/>
    <mergeCell ref="AJ46:AM46"/>
    <mergeCell ref="AP46:AS46"/>
    <mergeCell ref="BG46:BG47"/>
    <mergeCell ref="BH46:BN46"/>
    <mergeCell ref="BW46:BW47"/>
    <mergeCell ref="BO42:BO43"/>
    <mergeCell ref="BP42:BQ43"/>
    <mergeCell ref="CS42:CV42"/>
    <mergeCell ref="AJ43:AM43"/>
    <mergeCell ref="AW44:AX45"/>
    <mergeCell ref="AY44:BF44"/>
    <mergeCell ref="BG44:BG45"/>
    <mergeCell ref="BH44:BV44"/>
    <mergeCell ref="BW44:BW45"/>
    <mergeCell ref="AJ45:AM45"/>
    <mergeCell ref="AJ42:AM42"/>
    <mergeCell ref="AW42:AX43"/>
    <mergeCell ref="AY42:BA43"/>
    <mergeCell ref="BB42:BB43"/>
    <mergeCell ref="BC42:BF43"/>
    <mergeCell ref="BG42:BG43"/>
    <mergeCell ref="DL40:DL41"/>
    <mergeCell ref="BA41:BC41"/>
    <mergeCell ref="BG41:BI41"/>
    <mergeCell ref="BU41:BY41"/>
    <mergeCell ref="CS41:CV41"/>
    <mergeCell ref="CW41:CW42"/>
    <mergeCell ref="CX41:DF41"/>
    <mergeCell ref="BH42:BK43"/>
    <mergeCell ref="BL42:BL43"/>
    <mergeCell ref="BM42:BN43"/>
    <mergeCell ref="CE40:CE41"/>
    <mergeCell ref="CF40:CI41"/>
    <mergeCell ref="CJ40:CJ41"/>
    <mergeCell ref="CK40:CL41"/>
    <mergeCell ref="CM40:CM41"/>
    <mergeCell ref="CN40:CO41"/>
    <mergeCell ref="BO40:BO41"/>
    <mergeCell ref="BP40:BS41"/>
    <mergeCell ref="BT40:BT41"/>
    <mergeCell ref="BU40:BY40"/>
    <mergeCell ref="BZ40:BZ41"/>
    <mergeCell ref="CA40:CD41"/>
    <mergeCell ref="BD40:BD41"/>
    <mergeCell ref="BE40:BE41"/>
    <mergeCell ref="BF40:BF41"/>
    <mergeCell ref="BG40:BI40"/>
    <mergeCell ref="BJ40:BJ41"/>
    <mergeCell ref="BK40:BN41"/>
    <mergeCell ref="AJ40:AM40"/>
    <mergeCell ref="AP40:AS40"/>
    <mergeCell ref="AW40:AX41"/>
    <mergeCell ref="AY40:AY41"/>
    <mergeCell ref="AZ40:AZ41"/>
    <mergeCell ref="BA40:BC40"/>
    <mergeCell ref="CU38:CV39"/>
    <mergeCell ref="CW38:CW39"/>
    <mergeCell ref="CX38:CY39"/>
    <mergeCell ref="AJ39:AM39"/>
    <mergeCell ref="AP39:AS39"/>
    <mergeCell ref="BC39:BH39"/>
    <mergeCell ref="BN39:BQ39"/>
    <mergeCell ref="BW39:CB39"/>
    <mergeCell ref="CD39:CI39"/>
    <mergeCell ref="CD38:CI38"/>
    <mergeCell ref="CJ38:CJ39"/>
    <mergeCell ref="CK38:CN39"/>
    <mergeCell ref="CO38:CO39"/>
    <mergeCell ref="CP38:CS39"/>
    <mergeCell ref="CT38:CT39"/>
    <mergeCell ref="BS38:BS39"/>
    <mergeCell ref="BT38:BT39"/>
    <mergeCell ref="BU38:BU39"/>
    <mergeCell ref="BV38:BV39"/>
    <mergeCell ref="BW38:CB38"/>
    <mergeCell ref="CC38:CC39"/>
    <mergeCell ref="BJ38:BJ39"/>
    <mergeCell ref="BK38:BK39"/>
    <mergeCell ref="BL38:BL39"/>
    <mergeCell ref="BM38:BM39"/>
    <mergeCell ref="BN38:BQ38"/>
    <mergeCell ref="BR38:BR39"/>
    <mergeCell ref="AJ38:AM38"/>
    <mergeCell ref="AW38:AX39"/>
    <mergeCell ref="AY38:AZ39"/>
    <mergeCell ref="BA38:BB39"/>
    <mergeCell ref="BC38:BH38"/>
    <mergeCell ref="BI38:BI39"/>
    <mergeCell ref="AJ37:AM37"/>
    <mergeCell ref="AY37:BD37"/>
    <mergeCell ref="BF37:BM37"/>
    <mergeCell ref="BO37:BV37"/>
    <mergeCell ref="BX37:CE37"/>
    <mergeCell ref="CG37:CJ37"/>
    <mergeCell ref="CL37:CO37"/>
    <mergeCell ref="CL36:CO36"/>
    <mergeCell ref="CP36:CP37"/>
    <mergeCell ref="BO36:BV36"/>
    <mergeCell ref="BW36:BW37"/>
    <mergeCell ref="BX36:CE36"/>
    <mergeCell ref="CF36:CF37"/>
    <mergeCell ref="CG36:CJ36"/>
    <mergeCell ref="CK36:CK37"/>
    <mergeCell ref="AJ36:AM36"/>
    <mergeCell ref="AW36:AX37"/>
    <mergeCell ref="AY36:BD36"/>
    <mergeCell ref="BE36:BE37"/>
    <mergeCell ref="BF36:BM36"/>
    <mergeCell ref="BN36:BN37"/>
    <mergeCell ref="DS34:DV35"/>
    <mergeCell ref="DW34:DW35"/>
    <mergeCell ref="DX34:DY35"/>
    <mergeCell ref="DZ34:DZ35"/>
    <mergeCell ref="EA34:EB35"/>
    <mergeCell ref="DN34:DQ35"/>
    <mergeCell ref="DR34:DR35"/>
    <mergeCell ref="BR34:BR35"/>
    <mergeCell ref="DA36:DB37"/>
    <mergeCell ref="DC36:DC37"/>
    <mergeCell ref="DD36:DE37"/>
    <mergeCell ref="CQ36:CT37"/>
    <mergeCell ref="CU36:CU37"/>
    <mergeCell ref="CV36:CY37"/>
    <mergeCell ref="CZ36:CZ37"/>
    <mergeCell ref="B35:C35"/>
    <mergeCell ref="AJ35:AM35"/>
    <mergeCell ref="AY35:BD35"/>
    <mergeCell ref="BF35:BQ35"/>
    <mergeCell ref="BS35:CG35"/>
    <mergeCell ref="DD34:DG34"/>
    <mergeCell ref="DH34:DH35"/>
    <mergeCell ref="DI34:DL34"/>
    <mergeCell ref="DM34:DM35"/>
    <mergeCell ref="DD35:DG35"/>
    <mergeCell ref="DI35:DL35"/>
    <mergeCell ref="BS34:CG34"/>
    <mergeCell ref="CH34:CH35"/>
    <mergeCell ref="CI34:CS34"/>
    <mergeCell ref="CT34:CT35"/>
    <mergeCell ref="CU34:DB34"/>
    <mergeCell ref="DC34:DC35"/>
    <mergeCell ref="CI35:CS35"/>
    <mergeCell ref="CU35:DB35"/>
    <mergeCell ref="AJ34:AM34"/>
    <mergeCell ref="AW34:AX35"/>
    <mergeCell ref="AY34:BD34"/>
    <mergeCell ref="BE34:BE35"/>
    <mergeCell ref="BF34:BQ34"/>
    <mergeCell ref="DE32:DF33"/>
    <mergeCell ref="DG32:DG33"/>
    <mergeCell ref="DH32:DI33"/>
    <mergeCell ref="AJ33:AM33"/>
    <mergeCell ref="AY33:BD33"/>
    <mergeCell ref="BF33:BQ33"/>
    <mergeCell ref="BS33:BZ33"/>
    <mergeCell ref="CB33:CI33"/>
    <mergeCell ref="CK33:CN33"/>
    <mergeCell ref="CP33:CS33"/>
    <mergeCell ref="CP32:CS32"/>
    <mergeCell ref="CT32:CT33"/>
    <mergeCell ref="CU32:CX33"/>
    <mergeCell ref="CY32:CY33"/>
    <mergeCell ref="CZ32:DC33"/>
    <mergeCell ref="DD32:DD33"/>
    <mergeCell ref="BS32:BZ32"/>
    <mergeCell ref="CA32:CA33"/>
    <mergeCell ref="CB32:CH32"/>
    <mergeCell ref="CJ32:CJ33"/>
    <mergeCell ref="CK32:CN32"/>
    <mergeCell ref="CO32:CO33"/>
    <mergeCell ref="AJ32:AM32"/>
    <mergeCell ref="AW32:AX33"/>
    <mergeCell ref="AY32:BD32"/>
    <mergeCell ref="BE32:BE33"/>
    <mergeCell ref="BF32:BQ32"/>
    <mergeCell ref="BR32:BR33"/>
    <mergeCell ref="DK30:DL31"/>
    <mergeCell ref="AJ31:AM31"/>
    <mergeCell ref="AY31:BD31"/>
    <mergeCell ref="BF31:BQ31"/>
    <mergeCell ref="BS31:CC31"/>
    <mergeCell ref="CE31:CL31"/>
    <mergeCell ref="CN31:CQ31"/>
    <mergeCell ref="CS31:CV31"/>
    <mergeCell ref="CX30:DA31"/>
    <mergeCell ref="DB30:DB31"/>
    <mergeCell ref="DC30:DF31"/>
    <mergeCell ref="DG30:DG31"/>
    <mergeCell ref="DH30:DI31"/>
    <mergeCell ref="DJ30:DJ31"/>
    <mergeCell ref="CE30:CL30"/>
    <mergeCell ref="CM30:CM31"/>
    <mergeCell ref="CN30:CQ30"/>
    <mergeCell ref="CR30:CR31"/>
    <mergeCell ref="CS30:CV30"/>
    <mergeCell ref="CW30:CW31"/>
    <mergeCell ref="EN29:EQ29"/>
    <mergeCell ref="ES29:EW29"/>
    <mergeCell ref="AJ30:AM30"/>
    <mergeCell ref="AW30:AX31"/>
    <mergeCell ref="AY30:BD30"/>
    <mergeCell ref="BE30:BE31"/>
    <mergeCell ref="BF30:BQ30"/>
    <mergeCell ref="BR30:BR31"/>
    <mergeCell ref="BS30:CC30"/>
    <mergeCell ref="CD30:CD31"/>
    <mergeCell ref="HF24:HH24"/>
    <mergeCell ref="CU25:CX25"/>
    <mergeCell ref="DA25:DD25"/>
    <mergeCell ref="DC26:DD26"/>
    <mergeCell ref="DE26:DR26"/>
    <mergeCell ref="CT27:CU27"/>
    <mergeCell ref="CV27:CZ27"/>
    <mergeCell ref="DC27:DG27"/>
    <mergeCell ref="GH24:GJ24"/>
    <mergeCell ref="GT24:GV24"/>
    <mergeCell ref="GW24:GY24"/>
    <mergeCell ref="GZ24:HB24"/>
    <mergeCell ref="HC24:HE24"/>
    <mergeCell ref="EX24:EX25"/>
    <mergeCell ref="EY24:EY25"/>
    <mergeCell ref="EZ24:FF25"/>
    <mergeCell ref="FV24:FX24"/>
    <mergeCell ref="FY24:GA24"/>
    <mergeCell ref="EK24:EK25"/>
    <mergeCell ref="EL24:EM25"/>
    <mergeCell ref="EN24:EQ25"/>
    <mergeCell ref="ER24:ER25"/>
    <mergeCell ref="ES24:ES25"/>
    <mergeCell ref="ET24:EW25"/>
    <mergeCell ref="DT24:DT25"/>
    <mergeCell ref="DU24:DV25"/>
    <mergeCell ref="DW24:DX25"/>
    <mergeCell ref="DY24:DZ25"/>
    <mergeCell ref="EA24:EB25"/>
    <mergeCell ref="EC24:EC25"/>
    <mergeCell ref="DF24:DF25"/>
    <mergeCell ref="DG24:DH25"/>
    <mergeCell ref="DI24:DL25"/>
    <mergeCell ref="DM24:DN25"/>
    <mergeCell ref="DO24:DR25"/>
    <mergeCell ref="DS24:DS25"/>
    <mergeCell ref="CR24:CR25"/>
    <mergeCell ref="CS24:CT25"/>
    <mergeCell ref="CU24:CX24"/>
    <mergeCell ref="CY24:CZ25"/>
    <mergeCell ref="DA24:DD24"/>
    <mergeCell ref="DE24:DE25"/>
    <mergeCell ref="ET22:EW22"/>
    <mergeCell ref="EX22:EX23"/>
    <mergeCell ref="CO23:CQ23"/>
    <mergeCell ref="CU23:CY23"/>
    <mergeCell ref="DC23:DL23"/>
    <mergeCell ref="DP23:DV23"/>
    <mergeCell ref="DY23:EE23"/>
    <mergeCell ref="EM23:EW23"/>
    <mergeCell ref="DW22:DX23"/>
    <mergeCell ref="DY22:EE22"/>
    <mergeCell ref="EF22:EF23"/>
    <mergeCell ref="EJ22:EJ23"/>
    <mergeCell ref="EK22:EL23"/>
    <mergeCell ref="EM22:EQ22"/>
    <mergeCell ref="CZ22:CZ23"/>
    <mergeCell ref="DA22:DB23"/>
    <mergeCell ref="DC22:DL22"/>
    <mergeCell ref="DM22:DM23"/>
    <mergeCell ref="EJ20:EK21"/>
    <mergeCell ref="EL20:FM20"/>
    <mergeCell ref="CT21:CU21"/>
    <mergeCell ref="CV21:CZ21"/>
    <mergeCell ref="DA21:DB21"/>
    <mergeCell ref="DC21:DG21"/>
    <mergeCell ref="DJ21:DK21"/>
    <mergeCell ref="EL21:FM21"/>
    <mergeCell ref="ED18:EE19"/>
    <mergeCell ref="EF18:EF19"/>
    <mergeCell ref="EK18:EN18"/>
    <mergeCell ref="EO18:EO19"/>
    <mergeCell ref="EP18:FI18"/>
    <mergeCell ref="CV19:CZ19"/>
    <mergeCell ref="DN22:DO23"/>
    <mergeCell ref="DP22:DV22"/>
    <mergeCell ref="CK22:CL23"/>
    <mergeCell ref="CM22:CN23"/>
    <mergeCell ref="CO22:CQ22"/>
    <mergeCell ref="CR22:CR23"/>
    <mergeCell ref="CS22:CT23"/>
    <mergeCell ref="CU22:CY22"/>
    <mergeCell ref="EI20:EI21"/>
    <mergeCell ref="EP19:FI19"/>
    <mergeCell ref="DV18:DV19"/>
    <mergeCell ref="DW18:DW19"/>
    <mergeCell ref="DX18:DY19"/>
    <mergeCell ref="DZ18:EA19"/>
    <mergeCell ref="EB18:EB19"/>
    <mergeCell ref="EC18:EC19"/>
    <mergeCell ref="DH18:DH19"/>
    <mergeCell ref="DI18:DI19"/>
    <mergeCell ref="DJ18:DK19"/>
    <mergeCell ref="DL18:DO19"/>
    <mergeCell ref="DP18:DQ19"/>
    <mergeCell ref="DR18:DU19"/>
    <mergeCell ref="CS18:CS19"/>
    <mergeCell ref="CT18:CU19"/>
    <mergeCell ref="CV18:CZ18"/>
    <mergeCell ref="DA18:DA19"/>
    <mergeCell ref="DB18:DB19"/>
    <mergeCell ref="DC18:DG18"/>
    <mergeCell ref="DM16:DM17"/>
    <mergeCell ref="DN16:DN17"/>
    <mergeCell ref="DO16:EF16"/>
    <mergeCell ref="DC19:DG19"/>
    <mergeCell ref="EG16:EG17"/>
    <mergeCell ref="FC16:FH16"/>
    <mergeCell ref="CV17:DL17"/>
    <mergeCell ref="DO17:EF17"/>
    <mergeCell ref="CV14:DL14"/>
    <mergeCell ref="A15:B15"/>
    <mergeCell ref="CO15:CR15"/>
    <mergeCell ref="CV15:DL15"/>
    <mergeCell ref="CS16:CS17"/>
    <mergeCell ref="CT16:CU17"/>
    <mergeCell ref="CV16:DL16"/>
    <mergeCell ref="CP13:CT13"/>
    <mergeCell ref="CU13:CV13"/>
    <mergeCell ref="CW13:DA13"/>
    <mergeCell ref="DH13:DI13"/>
    <mergeCell ref="FC13:FH13"/>
    <mergeCell ref="CK14:CL15"/>
    <mergeCell ref="CM14:CN15"/>
    <mergeCell ref="CO14:CR14"/>
    <mergeCell ref="CS14:CS15"/>
    <mergeCell ref="CT14:CU15"/>
    <mergeCell ref="DX10:DY11"/>
    <mergeCell ref="DZ10:EA11"/>
    <mergeCell ref="EB10:EB11"/>
    <mergeCell ref="FC10:FH10"/>
    <mergeCell ref="CG11:CI11"/>
    <mergeCell ref="CP11:CT11"/>
    <mergeCell ref="CW11:DA11"/>
    <mergeCell ref="DK10:DL11"/>
    <mergeCell ref="DM10:DQ11"/>
    <mergeCell ref="DR10:DR11"/>
    <mergeCell ref="DS10:DS11"/>
    <mergeCell ref="DT10:DU11"/>
    <mergeCell ref="DV10:DW11"/>
    <mergeCell ref="CU10:CV11"/>
    <mergeCell ref="CW10:DA10"/>
    <mergeCell ref="DB10:DB11"/>
    <mergeCell ref="DC10:DC11"/>
    <mergeCell ref="DD10:DE11"/>
    <mergeCell ref="DF10:DJ11"/>
    <mergeCell ref="CV8:DF8"/>
    <mergeCell ref="DG8:DG9"/>
    <mergeCell ref="DH8:DI9"/>
    <mergeCell ref="DJ8:DS8"/>
    <mergeCell ref="DD6:DD7"/>
    <mergeCell ref="DE6:DE7"/>
    <mergeCell ref="DT8:DU9"/>
    <mergeCell ref="DV8:EE8"/>
    <mergeCell ref="EF8:EF9"/>
    <mergeCell ref="CV9:DF9"/>
    <mergeCell ref="DJ9:DS9"/>
    <mergeCell ref="DV9:EE9"/>
    <mergeCell ref="CX7:DC7"/>
    <mergeCell ref="DF6:DG7"/>
    <mergeCell ref="DH6:DK7"/>
    <mergeCell ref="DL6:DM7"/>
    <mergeCell ref="DN6:DQ7"/>
    <mergeCell ref="DR6:DR7"/>
    <mergeCell ref="DS6:DS7"/>
    <mergeCell ref="CD10:CD11"/>
    <mergeCell ref="CE10:CF11"/>
    <mergeCell ref="CG10:CI10"/>
    <mergeCell ref="CM10:CM11"/>
    <mergeCell ref="CN10:CO11"/>
    <mergeCell ref="CP10:CT10"/>
    <mergeCell ref="CL8:CM9"/>
    <mergeCell ref="CN8:CO9"/>
    <mergeCell ref="CP8:CR8"/>
    <mergeCell ref="CS8:CS9"/>
    <mergeCell ref="CT8:CU9"/>
    <mergeCell ref="CP9:CR9"/>
    <mergeCell ref="FC4:FH4"/>
    <mergeCell ref="CO5:CR5"/>
    <mergeCell ref="CV5:DC5"/>
    <mergeCell ref="DG5:DR5"/>
    <mergeCell ref="DV5:EF5"/>
    <mergeCell ref="EH5:ER5"/>
    <mergeCell ref="DD4:DD5"/>
    <mergeCell ref="DE4:DF5"/>
    <mergeCell ref="DG4:DR4"/>
    <mergeCell ref="DS4:DS5"/>
    <mergeCell ref="DT4:DU5"/>
    <mergeCell ref="ET4:ET5"/>
    <mergeCell ref="GK24:GM24"/>
    <mergeCell ref="GN24:GP24"/>
    <mergeCell ref="GB24:GD24"/>
    <mergeCell ref="GE24:GG24"/>
    <mergeCell ref="GQ24:GS24"/>
    <mergeCell ref="HI24:HK24"/>
    <mergeCell ref="HL24:HN24"/>
    <mergeCell ref="CK4:CL5"/>
    <mergeCell ref="CM4:CN5"/>
    <mergeCell ref="CO4:CR4"/>
    <mergeCell ref="CS4:CS5"/>
    <mergeCell ref="CT4:CU5"/>
    <mergeCell ref="CV4:DC4"/>
    <mergeCell ref="CO6:CU6"/>
    <mergeCell ref="CV6:CW7"/>
    <mergeCell ref="CX6:DC6"/>
    <mergeCell ref="CM6:CN7"/>
    <mergeCell ref="FC7:FH7"/>
    <mergeCell ref="DT6:DU7"/>
    <mergeCell ref="DV6:DW7"/>
    <mergeCell ref="DX6:DY7"/>
    <mergeCell ref="DZ6:EA7"/>
    <mergeCell ref="EB6:EB7"/>
    <mergeCell ref="CO7:CU7"/>
  </mergeCells>
  <phoneticPr fontId="1"/>
  <pageMargins left="0.21" right="0.2" top="0.3" bottom="0.34" header="0.23" footer="0.16"/>
  <pageSetup paperSize="9" scale="50" orientation="landscape" horizontalDpi="4294967293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F180C4-67E4-4B9F-A4A5-1536965C0C24}">
  <sheetPr>
    <tabColor rgb="FFFFFF00"/>
  </sheetPr>
  <dimension ref="A1:IJ1158"/>
  <sheetViews>
    <sheetView tabSelected="1" topLeftCell="FI1" zoomScale="70" zoomScaleNormal="70" workbookViewId="0">
      <selection activeCell="FP19" sqref="FP19"/>
    </sheetView>
  </sheetViews>
  <sheetFormatPr defaultColWidth="2.5" defaultRowHeight="15" customHeight="1"/>
  <cols>
    <col min="1" max="8" width="2.5" style="30"/>
    <col min="9" max="9" width="2.375" style="30" customWidth="1"/>
    <col min="10" max="14" width="2.5" style="30"/>
    <col min="15" max="15" width="2.5" style="30" customWidth="1"/>
    <col min="16" max="35" width="2.5" style="30"/>
    <col min="36" max="36" width="2.375" style="30" customWidth="1"/>
    <col min="37" max="37" width="2.5" style="30"/>
    <col min="38" max="112" width="2.5" style="30" customWidth="1"/>
    <col min="113" max="116" width="2.75" style="30" customWidth="1"/>
    <col min="117" max="140" width="2.5" style="30"/>
    <col min="141" max="141" width="2.625" style="30" customWidth="1"/>
    <col min="142" max="147" width="2.5" style="30"/>
    <col min="148" max="148" width="2.625" style="30" customWidth="1"/>
    <col min="149" max="149" width="3.875" style="30" bestFit="1" customWidth="1"/>
    <col min="150" max="170" width="2.5" style="30"/>
    <col min="171" max="171" width="9.25" style="30" customWidth="1"/>
    <col min="172" max="172" width="10.625" style="30" customWidth="1"/>
    <col min="173" max="173" width="8.625" style="30" customWidth="1"/>
    <col min="174" max="174" width="9.25" style="30" customWidth="1"/>
    <col min="175" max="175" width="3.875" style="30" customWidth="1"/>
    <col min="176" max="177" width="8.125" style="30" customWidth="1"/>
    <col min="178" max="179" width="6.375" style="30" customWidth="1"/>
    <col min="180" max="180" width="8.125" style="30" customWidth="1"/>
    <col min="181" max="182" width="6.625" style="30" customWidth="1"/>
    <col min="183" max="183" width="8.25" style="30" customWidth="1"/>
    <col min="184" max="186" width="6.625" style="30" customWidth="1"/>
    <col min="187" max="187" width="7.375" style="30" customWidth="1"/>
    <col min="188" max="188" width="8.375" style="30" customWidth="1"/>
    <col min="189" max="189" width="9" style="30" customWidth="1"/>
    <col min="190" max="191" width="6.625" style="30" customWidth="1"/>
    <col min="192" max="192" width="9.125" style="30" customWidth="1"/>
    <col min="193" max="193" width="8.25" style="30" customWidth="1"/>
    <col min="194" max="194" width="12" style="30" customWidth="1"/>
    <col min="195" max="195" width="10" style="30" customWidth="1"/>
    <col min="196" max="199" width="8.25" style="30" customWidth="1"/>
    <col min="200" max="200" width="8" style="30" customWidth="1"/>
    <col min="201" max="203" width="8.25" style="30" customWidth="1"/>
    <col min="204" max="204" width="8.125" style="30" customWidth="1"/>
    <col min="205" max="206" width="6.625" style="30" customWidth="1"/>
    <col min="207" max="208" width="8.25" style="30" customWidth="1"/>
    <col min="209" max="209" width="7.75" style="30" customWidth="1"/>
    <col min="210" max="210" width="8.625" style="30" customWidth="1"/>
    <col min="211" max="222" width="10.875" style="30" customWidth="1"/>
    <col min="223" max="224" width="8.125" style="30" customWidth="1"/>
    <col min="225" max="226" width="9.25" style="30" customWidth="1"/>
    <col min="227" max="227" width="10.75" style="30" customWidth="1"/>
    <col min="228" max="228" width="14.75" style="30" customWidth="1"/>
    <col min="229" max="229" width="10.75" style="30" customWidth="1"/>
    <col min="230" max="231" width="15.875" style="30" customWidth="1"/>
    <col min="232" max="232" width="13.5" style="30" customWidth="1"/>
    <col min="233" max="233" width="10.5" style="30" customWidth="1"/>
    <col min="234" max="234" width="13.125" style="30" customWidth="1"/>
    <col min="235" max="244" width="10.5" style="30" customWidth="1"/>
    <col min="245" max="289" width="9.25" style="30" customWidth="1"/>
    <col min="290" max="16384" width="2.5" style="30"/>
  </cols>
  <sheetData>
    <row r="1" spans="1:244" ht="15" customHeight="1">
      <c r="AL1" s="79"/>
      <c r="AM1" s="79"/>
      <c r="AN1" s="79"/>
      <c r="AO1" s="79"/>
      <c r="AP1" s="79"/>
      <c r="AQ1" s="79"/>
      <c r="AR1" s="79"/>
      <c r="AS1" s="79"/>
      <c r="AT1" s="79"/>
      <c r="AU1" s="79"/>
      <c r="AV1" s="79"/>
      <c r="AW1" s="79"/>
      <c r="AX1" s="79"/>
      <c r="AY1" s="79"/>
      <c r="AZ1" s="79"/>
      <c r="BA1" s="79"/>
      <c r="BB1" s="79"/>
      <c r="BC1" s="79"/>
      <c r="BD1" s="79"/>
      <c r="BE1" s="79"/>
      <c r="BF1" s="79"/>
      <c r="BG1" s="79"/>
      <c r="BH1" s="79"/>
      <c r="BI1" s="79"/>
      <c r="BJ1" s="79"/>
      <c r="BK1" s="79"/>
      <c r="BL1" s="79"/>
      <c r="BM1" s="79"/>
      <c r="BN1" s="79"/>
      <c r="BO1" s="79"/>
      <c r="BP1" s="79"/>
      <c r="BQ1" s="79"/>
      <c r="BR1" s="79"/>
      <c r="BS1" s="79"/>
      <c r="BT1" s="79"/>
      <c r="BU1" s="79"/>
      <c r="BV1" s="79"/>
      <c r="BW1" s="79"/>
      <c r="BX1" s="79"/>
      <c r="BY1" s="79"/>
      <c r="BZ1" s="79"/>
      <c r="CA1" s="79"/>
      <c r="CB1" s="79"/>
      <c r="HR1" s="32"/>
      <c r="HS1" s="32"/>
      <c r="HT1" s="32"/>
      <c r="HU1" s="32"/>
      <c r="HV1" s="32"/>
      <c r="HW1" s="32"/>
      <c r="HX1" s="32"/>
      <c r="HY1" s="32"/>
      <c r="HZ1" s="32"/>
      <c r="IA1" s="32"/>
      <c r="IB1" s="32"/>
      <c r="IC1" s="32"/>
      <c r="ID1" s="32"/>
      <c r="IE1" s="32"/>
      <c r="IF1" s="32"/>
      <c r="IG1" s="32"/>
    </row>
    <row r="2" spans="1:244" ht="15" customHeight="1">
      <c r="AL2" s="79"/>
      <c r="AM2" s="79"/>
      <c r="AN2" s="79"/>
      <c r="AO2" s="79"/>
      <c r="AP2" s="79"/>
      <c r="AQ2" s="79"/>
      <c r="AR2" s="79"/>
      <c r="AS2" s="79"/>
      <c r="AT2" s="79"/>
      <c r="AU2" s="79"/>
      <c r="AV2" s="79"/>
      <c r="AW2" s="79"/>
      <c r="AX2" s="79"/>
      <c r="AY2" s="170" t="s">
        <v>61</v>
      </c>
      <c r="AZ2" s="170"/>
      <c r="BA2" s="79"/>
      <c r="BB2" s="79"/>
      <c r="BC2" s="79"/>
      <c r="BD2" s="79"/>
      <c r="BE2" s="79"/>
      <c r="BF2" s="79"/>
      <c r="BG2" s="79"/>
      <c r="BH2" s="79"/>
      <c r="BI2" s="79"/>
      <c r="BJ2" s="79"/>
      <c r="BK2" s="79"/>
      <c r="BL2" s="79"/>
      <c r="BM2" s="79"/>
      <c r="BN2" s="79"/>
      <c r="BO2" s="79"/>
      <c r="BP2" s="79"/>
      <c r="BQ2" s="79"/>
      <c r="BR2" s="79"/>
      <c r="BS2" s="79"/>
      <c r="BT2" s="79"/>
      <c r="BU2" s="79"/>
      <c r="BV2" s="79"/>
      <c r="BW2" s="79"/>
      <c r="BX2" s="79"/>
      <c r="BY2" s="79"/>
      <c r="BZ2" s="79"/>
      <c r="CA2" s="79"/>
      <c r="CB2" s="79"/>
      <c r="HR2" s="32"/>
      <c r="HS2" s="48"/>
      <c r="HT2" s="48"/>
      <c r="HU2" s="76"/>
      <c r="HV2" s="76"/>
      <c r="HW2" s="76"/>
      <c r="HX2" s="32"/>
      <c r="HY2" s="77"/>
      <c r="HZ2" s="77"/>
      <c r="IA2" s="76"/>
      <c r="IB2" s="76"/>
      <c r="IC2" s="76"/>
      <c r="ID2" s="76"/>
      <c r="IE2" s="76"/>
      <c r="IF2" s="76"/>
      <c r="IG2" s="32"/>
    </row>
    <row r="3" spans="1:244" ht="15" customHeight="1">
      <c r="AL3" s="79"/>
      <c r="AM3" s="79"/>
      <c r="AN3" s="79"/>
      <c r="AO3" s="79"/>
      <c r="AP3" s="79"/>
      <c r="AQ3" s="79"/>
      <c r="AR3" s="79"/>
      <c r="AS3" s="79"/>
      <c r="AT3" s="79"/>
      <c r="AU3" s="79"/>
      <c r="AV3" s="79"/>
      <c r="AW3" s="79"/>
      <c r="AZ3" s="79"/>
      <c r="BA3" s="79"/>
      <c r="BD3" s="79"/>
      <c r="BE3" s="79"/>
      <c r="BF3" s="79"/>
      <c r="BG3" s="79"/>
      <c r="BH3" s="79"/>
      <c r="BI3" s="79"/>
      <c r="BJ3" s="79"/>
      <c r="BK3" s="79"/>
      <c r="BL3" s="79"/>
      <c r="BM3" s="79"/>
      <c r="BN3" s="79"/>
      <c r="BO3" s="79"/>
      <c r="BP3" s="79"/>
      <c r="BQ3" s="79"/>
      <c r="BR3" s="79"/>
      <c r="BS3" s="79"/>
      <c r="BT3" s="79"/>
      <c r="BU3" s="79"/>
      <c r="BV3" s="79"/>
      <c r="BW3" s="79"/>
      <c r="BX3" s="79"/>
      <c r="BY3" s="79"/>
      <c r="BZ3" s="79"/>
      <c r="CA3" s="79"/>
      <c r="CB3" s="79"/>
      <c r="HR3" s="32"/>
      <c r="HS3" s="48"/>
      <c r="HT3" s="77"/>
      <c r="HU3" s="76"/>
      <c r="HV3" s="76"/>
      <c r="HW3" s="76"/>
      <c r="HX3" s="32"/>
      <c r="HY3" s="77"/>
      <c r="HZ3" s="77"/>
      <c r="IA3" s="76"/>
      <c r="IB3" s="76"/>
      <c r="IC3" s="76"/>
      <c r="ID3" s="76"/>
      <c r="IE3" s="76"/>
      <c r="IF3" s="76"/>
      <c r="IG3" s="32"/>
    </row>
    <row r="4" spans="1:244" ht="15" customHeight="1">
      <c r="A4" s="79"/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  <c r="AA4" s="79"/>
      <c r="AB4" s="79"/>
      <c r="AC4" s="79"/>
      <c r="AD4" s="79"/>
      <c r="AE4" s="79"/>
      <c r="AF4" s="79"/>
      <c r="AG4" s="79"/>
      <c r="AH4" s="79"/>
      <c r="AI4" s="79"/>
      <c r="AJ4" s="79"/>
      <c r="AK4" s="79"/>
      <c r="AL4" s="79"/>
      <c r="AM4" s="79"/>
      <c r="AN4" s="79"/>
      <c r="AO4" s="79"/>
      <c r="AP4" s="79"/>
      <c r="AQ4" s="79"/>
      <c r="AR4" s="79"/>
      <c r="AS4" s="79"/>
      <c r="AT4" s="79"/>
      <c r="AU4" s="79"/>
      <c r="AV4" s="79"/>
      <c r="AW4" s="79"/>
      <c r="AX4" s="79"/>
      <c r="AY4" s="79"/>
      <c r="AZ4" s="79"/>
      <c r="BA4" s="79"/>
      <c r="BB4" s="79"/>
      <c r="BC4" s="79"/>
      <c r="BD4" s="79"/>
      <c r="BE4" s="79"/>
      <c r="BF4" s="79"/>
      <c r="BG4" s="79"/>
      <c r="BH4" s="79"/>
      <c r="BI4" s="79"/>
      <c r="BJ4" s="79"/>
      <c r="BK4" s="79"/>
      <c r="BL4" s="79"/>
      <c r="BM4" s="79"/>
      <c r="BN4" s="79"/>
      <c r="BO4" s="79"/>
      <c r="BP4" s="79"/>
      <c r="BQ4" s="79"/>
      <c r="BR4" s="79"/>
      <c r="BS4" s="79"/>
      <c r="BT4" s="79"/>
      <c r="BU4" s="79"/>
      <c r="BV4" s="170" t="s">
        <v>56</v>
      </c>
      <c r="BW4" s="170"/>
      <c r="BX4" s="79"/>
      <c r="BY4" s="79"/>
      <c r="BZ4" s="79"/>
      <c r="CA4" s="79"/>
      <c r="CB4" s="79"/>
      <c r="CK4" s="104" t="s">
        <v>75</v>
      </c>
      <c r="CL4" s="104"/>
      <c r="CM4" s="104" t="s">
        <v>76</v>
      </c>
      <c r="CN4" s="104"/>
      <c r="CO4" s="105" t="s">
        <v>77</v>
      </c>
      <c r="CP4" s="105"/>
      <c r="CQ4" s="105"/>
      <c r="CR4" s="105"/>
      <c r="CS4" s="104" t="s">
        <v>33</v>
      </c>
      <c r="CT4" s="104" t="s">
        <v>76</v>
      </c>
      <c r="CU4" s="104"/>
      <c r="CV4" s="105" t="s">
        <v>117</v>
      </c>
      <c r="CW4" s="105"/>
      <c r="CX4" s="105"/>
      <c r="CY4" s="105"/>
      <c r="CZ4" s="105"/>
      <c r="DA4" s="105"/>
      <c r="DB4" s="105"/>
      <c r="DC4" s="105"/>
      <c r="DD4" s="104" t="s">
        <v>33</v>
      </c>
      <c r="DE4" s="104" t="s">
        <v>76</v>
      </c>
      <c r="DF4" s="104"/>
      <c r="DG4" s="106" t="s">
        <v>119</v>
      </c>
      <c r="DH4" s="106"/>
      <c r="DI4" s="106"/>
      <c r="DJ4" s="106"/>
      <c r="DK4" s="106"/>
      <c r="DL4" s="106"/>
      <c r="DM4" s="106"/>
      <c r="DN4" s="106"/>
      <c r="DO4" s="106"/>
      <c r="DP4" s="106"/>
      <c r="DQ4" s="106"/>
      <c r="DR4" s="106"/>
      <c r="DS4" s="104" t="s">
        <v>33</v>
      </c>
      <c r="DT4" s="104" t="s">
        <v>136</v>
      </c>
      <c r="DU4" s="104"/>
      <c r="DV4" s="24" t="s">
        <v>134</v>
      </c>
      <c r="DW4" s="21"/>
      <c r="DX4" s="21"/>
      <c r="DY4" s="21"/>
      <c r="DZ4" s="21"/>
      <c r="EA4" s="21"/>
      <c r="EB4" s="21"/>
      <c r="EC4" s="21"/>
      <c r="ED4" s="21"/>
      <c r="EE4" s="21"/>
      <c r="EF4" s="21"/>
      <c r="EG4" s="2"/>
      <c r="EH4" s="25" t="s">
        <v>135</v>
      </c>
      <c r="EI4" s="22"/>
      <c r="EJ4" s="22"/>
      <c r="EK4" s="22"/>
      <c r="EL4" s="22"/>
      <c r="EM4" s="22"/>
      <c r="EN4" s="22"/>
      <c r="EO4" s="22"/>
      <c r="EP4" s="22"/>
      <c r="EQ4" s="22"/>
      <c r="ER4" s="22"/>
      <c r="ET4" s="104" t="s">
        <v>137</v>
      </c>
      <c r="EZ4" s="30" t="s">
        <v>189</v>
      </c>
      <c r="FB4" s="30" t="s">
        <v>33</v>
      </c>
      <c r="FC4" s="104">
        <f>SQRT(DH6^2+DN6^2)</f>
        <v>0.97627180421108095</v>
      </c>
      <c r="FD4" s="104"/>
      <c r="FE4" s="104"/>
      <c r="FF4" s="104"/>
      <c r="FG4" s="104"/>
      <c r="FH4" s="104"/>
      <c r="FI4" s="3" t="s">
        <v>192</v>
      </c>
      <c r="FO4" s="30" t="s">
        <v>198</v>
      </c>
      <c r="HR4" s="32"/>
      <c r="HS4" s="48"/>
      <c r="HT4" s="77"/>
      <c r="HU4" s="76"/>
      <c r="HV4" s="76"/>
      <c r="HW4" s="76"/>
      <c r="HX4" s="32"/>
      <c r="HY4" s="77"/>
      <c r="HZ4" s="77"/>
      <c r="IA4" s="76"/>
      <c r="IB4" s="76"/>
      <c r="IC4" s="76"/>
      <c r="ID4" s="76"/>
      <c r="IE4" s="76"/>
      <c r="IF4" s="76"/>
      <c r="IG4" s="32"/>
    </row>
    <row r="5" spans="1:244" ht="15" customHeight="1">
      <c r="A5" s="79"/>
      <c r="B5" s="79"/>
      <c r="C5" s="79"/>
      <c r="D5" s="79"/>
      <c r="E5" s="79"/>
      <c r="F5" s="79"/>
      <c r="G5" s="79"/>
      <c r="H5" s="79"/>
      <c r="I5" s="79"/>
      <c r="J5" s="79" t="s">
        <v>1</v>
      </c>
      <c r="K5" s="79"/>
      <c r="L5" s="79"/>
      <c r="M5" s="79"/>
      <c r="N5" s="79"/>
      <c r="O5" s="79"/>
      <c r="P5" s="79"/>
      <c r="Q5" s="79"/>
      <c r="R5" s="79"/>
      <c r="S5" s="79"/>
      <c r="T5" s="79" t="s">
        <v>2</v>
      </c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  <c r="BM5" s="79"/>
      <c r="BN5" s="79"/>
      <c r="BO5" s="79"/>
      <c r="BP5" s="79"/>
      <c r="BQ5" s="79"/>
      <c r="BR5" s="79"/>
      <c r="BS5" s="79"/>
      <c r="BT5" s="79"/>
      <c r="BU5" s="79"/>
      <c r="BV5" s="79"/>
      <c r="BW5" s="79"/>
      <c r="BX5" s="79"/>
      <c r="BY5" s="79"/>
      <c r="BZ5" s="79"/>
      <c r="CA5" s="79"/>
      <c r="CB5" s="79"/>
      <c r="CK5" s="104"/>
      <c r="CL5" s="104"/>
      <c r="CM5" s="104"/>
      <c r="CN5" s="104"/>
      <c r="CO5" s="110" t="s">
        <v>62</v>
      </c>
      <c r="CP5" s="110"/>
      <c r="CQ5" s="110"/>
      <c r="CR5" s="110"/>
      <c r="CS5" s="104"/>
      <c r="CT5" s="104"/>
      <c r="CU5" s="104"/>
      <c r="CV5" s="111" t="s">
        <v>116</v>
      </c>
      <c r="CW5" s="111"/>
      <c r="CX5" s="111"/>
      <c r="CY5" s="111"/>
      <c r="CZ5" s="111"/>
      <c r="DA5" s="111"/>
      <c r="DB5" s="111"/>
      <c r="DC5" s="111"/>
      <c r="DD5" s="104"/>
      <c r="DE5" s="104"/>
      <c r="DF5" s="104"/>
      <c r="DG5" s="112" t="s">
        <v>118</v>
      </c>
      <c r="DH5" s="112"/>
      <c r="DI5" s="112"/>
      <c r="DJ5" s="112"/>
      <c r="DK5" s="112"/>
      <c r="DL5" s="112"/>
      <c r="DM5" s="112"/>
      <c r="DN5" s="112"/>
      <c r="DO5" s="112"/>
      <c r="DP5" s="112"/>
      <c r="DQ5" s="112"/>
      <c r="DR5" s="112"/>
      <c r="DS5" s="104"/>
      <c r="DT5" s="104"/>
      <c r="DU5" s="104"/>
      <c r="DV5" s="112" t="s">
        <v>118</v>
      </c>
      <c r="DW5" s="112"/>
      <c r="DX5" s="112"/>
      <c r="DY5" s="112"/>
      <c r="DZ5" s="112"/>
      <c r="EA5" s="112"/>
      <c r="EB5" s="112"/>
      <c r="EC5" s="112"/>
      <c r="ED5" s="112"/>
      <c r="EE5" s="112"/>
      <c r="EF5" s="112"/>
      <c r="EG5" s="2"/>
      <c r="EH5" s="112" t="s">
        <v>118</v>
      </c>
      <c r="EI5" s="112"/>
      <c r="EJ5" s="112"/>
      <c r="EK5" s="112"/>
      <c r="EL5" s="112"/>
      <c r="EM5" s="112"/>
      <c r="EN5" s="112"/>
      <c r="EO5" s="112"/>
      <c r="EP5" s="112"/>
      <c r="EQ5" s="112"/>
      <c r="ER5" s="112"/>
      <c r="ET5" s="104"/>
      <c r="FO5" s="30" t="s">
        <v>290</v>
      </c>
      <c r="HR5" s="32"/>
      <c r="HS5" s="48"/>
      <c r="HT5" s="77"/>
      <c r="HU5" s="76"/>
      <c r="HV5" s="76"/>
      <c r="HW5" s="76"/>
      <c r="HX5" s="32"/>
      <c r="HY5" s="77"/>
      <c r="HZ5" s="77"/>
      <c r="IA5" s="76"/>
      <c r="IB5" s="76"/>
      <c r="IC5" s="76"/>
      <c r="ID5" s="76"/>
      <c r="IE5" s="76"/>
      <c r="IF5" s="76"/>
      <c r="IG5" s="32"/>
    </row>
    <row r="6" spans="1:244" ht="15" customHeight="1">
      <c r="A6" s="79"/>
      <c r="B6" s="79"/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81"/>
      <c r="O6" s="81"/>
      <c r="P6" s="81"/>
      <c r="Q6" s="81"/>
      <c r="R6" s="81"/>
      <c r="S6" s="81"/>
      <c r="T6" s="79"/>
      <c r="U6" s="79"/>
      <c r="V6" s="79"/>
      <c r="W6" s="79"/>
      <c r="X6" s="79"/>
      <c r="Y6" s="79"/>
      <c r="Z6" s="79"/>
      <c r="AA6" s="79"/>
      <c r="AB6" s="79"/>
      <c r="AC6" s="79"/>
      <c r="AD6" s="79"/>
      <c r="AE6" s="79"/>
      <c r="AF6" s="79"/>
      <c r="AG6" s="79"/>
      <c r="AH6" s="79"/>
      <c r="AI6" s="79"/>
      <c r="AJ6" s="81"/>
      <c r="AK6" s="81"/>
      <c r="AL6" s="81"/>
      <c r="AM6" s="81"/>
      <c r="AN6" s="81" t="s">
        <v>57</v>
      </c>
      <c r="AO6" s="81"/>
      <c r="AP6" s="79"/>
      <c r="AQ6" s="82" t="s">
        <v>57</v>
      </c>
      <c r="AR6" s="79"/>
      <c r="AS6" s="79"/>
      <c r="AT6" s="79"/>
      <c r="AU6" s="79"/>
      <c r="AV6" s="170" t="s">
        <v>72</v>
      </c>
      <c r="AW6" s="170"/>
      <c r="AX6" s="79"/>
      <c r="AY6" s="79"/>
      <c r="AZ6" s="79"/>
      <c r="BA6" s="79"/>
      <c r="BB6" s="79"/>
      <c r="BC6" s="79"/>
      <c r="BD6" s="79"/>
      <c r="BE6" s="170" t="s">
        <v>73</v>
      </c>
      <c r="BF6" s="170"/>
      <c r="BG6" s="79"/>
      <c r="BH6" s="79"/>
      <c r="BI6" s="79"/>
      <c r="BJ6" s="79" t="s">
        <v>74</v>
      </c>
      <c r="BK6" s="79"/>
      <c r="BL6" s="79"/>
      <c r="BM6" s="79"/>
      <c r="BN6" s="79"/>
      <c r="BO6" s="79"/>
      <c r="BP6" s="79"/>
      <c r="BQ6" s="79"/>
      <c r="BR6" s="79"/>
      <c r="BS6" s="79"/>
      <c r="BT6" s="79"/>
      <c r="BU6" s="79"/>
      <c r="BV6" s="79"/>
      <c r="BW6" s="79"/>
      <c r="BX6" s="79"/>
      <c r="BY6" s="79"/>
      <c r="BZ6" s="79"/>
      <c r="CA6" s="79"/>
      <c r="CB6" s="79" t="s">
        <v>60</v>
      </c>
      <c r="CD6" s="30" t="s">
        <v>59</v>
      </c>
      <c r="CM6" s="104" t="s">
        <v>136</v>
      </c>
      <c r="CN6" s="104"/>
      <c r="CO6" s="106">
        <f>AZ58*(CX30+AZ58)+BF58*(DC30+BF58)</f>
        <v>376002.96343785914</v>
      </c>
      <c r="CP6" s="106"/>
      <c r="CQ6" s="106"/>
      <c r="CR6" s="106"/>
      <c r="CS6" s="106"/>
      <c r="CT6" s="106"/>
      <c r="CU6" s="106"/>
      <c r="CV6" s="107" t="s">
        <v>115</v>
      </c>
      <c r="CW6" s="104"/>
      <c r="CX6" s="106">
        <f>BF58*(CX30+AZ58)-AZ58*(DC30+BF58)</f>
        <v>-31716.226622588511</v>
      </c>
      <c r="CY6" s="106"/>
      <c r="CZ6" s="106"/>
      <c r="DA6" s="106"/>
      <c r="DB6" s="106"/>
      <c r="DC6" s="106"/>
      <c r="DD6" s="104" t="s">
        <v>137</v>
      </c>
      <c r="DE6" s="104" t="s">
        <v>33</v>
      </c>
      <c r="DF6" s="108" t="s">
        <v>136</v>
      </c>
      <c r="DG6" s="108"/>
      <c r="DH6" s="114">
        <f>CO6/CO7</f>
        <v>0.97281709713158682</v>
      </c>
      <c r="DI6" s="114"/>
      <c r="DJ6" s="114"/>
      <c r="DK6" s="114"/>
      <c r="DL6" s="109" t="s">
        <v>115</v>
      </c>
      <c r="DM6" s="108"/>
      <c r="DN6" s="114">
        <f>(CX6/CX7)</f>
        <v>-8.2058096651286813E-2</v>
      </c>
      <c r="DO6" s="114"/>
      <c r="DP6" s="114"/>
      <c r="DQ6" s="114"/>
      <c r="DR6" s="108" t="s">
        <v>137</v>
      </c>
      <c r="DS6" s="108" t="s">
        <v>33</v>
      </c>
      <c r="DT6" s="108" t="s">
        <v>136</v>
      </c>
      <c r="DU6" s="108"/>
      <c r="DV6" s="108" t="s">
        <v>138</v>
      </c>
      <c r="DW6" s="108"/>
      <c r="DX6" s="109" t="s">
        <v>115</v>
      </c>
      <c r="DY6" s="108"/>
      <c r="DZ6" s="108" t="s">
        <v>148</v>
      </c>
      <c r="EA6" s="108"/>
      <c r="EB6" s="108" t="s">
        <v>137</v>
      </c>
      <c r="FP6" s="89" t="s">
        <v>202</v>
      </c>
      <c r="FQ6" s="89" t="s">
        <v>50</v>
      </c>
      <c r="FT6" s="36" t="s">
        <v>280</v>
      </c>
      <c r="HR6" s="32"/>
      <c r="HS6" s="48"/>
      <c r="HT6" s="77"/>
      <c r="HU6" s="76"/>
      <c r="HV6" s="76"/>
      <c r="HW6" s="76"/>
      <c r="HX6" s="32"/>
      <c r="HY6" s="77"/>
      <c r="HZ6" s="77"/>
      <c r="IA6" s="76"/>
      <c r="IB6" s="76"/>
      <c r="IC6" s="76"/>
      <c r="ID6" s="76"/>
      <c r="IE6" s="76"/>
      <c r="IF6" s="76"/>
      <c r="IG6" s="32"/>
    </row>
    <row r="7" spans="1:244" ht="15" customHeight="1">
      <c r="A7" s="79"/>
      <c r="B7" s="79"/>
      <c r="C7" s="79"/>
      <c r="D7" s="79"/>
      <c r="E7" s="79"/>
      <c r="F7" s="79"/>
      <c r="G7" s="79"/>
      <c r="H7" s="79"/>
      <c r="I7" s="79"/>
      <c r="J7" s="79"/>
      <c r="K7" s="79"/>
      <c r="L7" s="79"/>
      <c r="M7" s="79" t="s">
        <v>11</v>
      </c>
      <c r="N7" s="79"/>
      <c r="O7" s="79"/>
      <c r="P7" s="79"/>
      <c r="Q7" s="79"/>
      <c r="R7" s="79"/>
      <c r="S7" s="79"/>
      <c r="T7" s="79"/>
      <c r="U7" s="79"/>
      <c r="V7" s="79"/>
      <c r="W7" s="79" t="s">
        <v>12</v>
      </c>
      <c r="X7" s="79"/>
      <c r="Y7" s="79"/>
      <c r="Z7" s="79"/>
      <c r="AA7" s="79"/>
      <c r="AB7" s="79"/>
      <c r="AC7" s="79"/>
      <c r="AD7" s="79"/>
      <c r="AE7" s="79"/>
      <c r="AF7" s="79"/>
      <c r="AG7" s="79"/>
      <c r="AH7" s="79"/>
      <c r="AI7" s="79"/>
      <c r="AJ7" s="79"/>
      <c r="AK7" s="79"/>
      <c r="AL7" s="79"/>
      <c r="AM7" s="79"/>
      <c r="AN7" s="83"/>
      <c r="AO7" s="79"/>
      <c r="AP7" s="79"/>
      <c r="AQ7" s="79"/>
      <c r="AR7" s="79"/>
      <c r="AS7" s="79"/>
      <c r="AT7" s="79"/>
      <c r="AU7" s="79"/>
      <c r="AV7" s="79"/>
      <c r="AW7" s="79"/>
      <c r="AX7" s="79"/>
      <c r="AY7" s="79"/>
      <c r="AZ7" s="79"/>
      <c r="BA7" s="79"/>
      <c r="BB7" s="79"/>
      <c r="BC7" s="79"/>
      <c r="BD7" s="79"/>
      <c r="BE7" s="79"/>
      <c r="BF7" s="79"/>
      <c r="BG7" s="79"/>
      <c r="BH7" s="79"/>
      <c r="BI7" s="79"/>
      <c r="BJ7" s="79"/>
      <c r="BK7" s="79"/>
      <c r="BL7" s="79"/>
      <c r="BM7" s="79"/>
      <c r="BN7" s="79"/>
      <c r="BO7" s="79"/>
      <c r="BP7" s="79"/>
      <c r="BQ7" s="79"/>
      <c r="BR7" s="79"/>
      <c r="BS7" s="79"/>
      <c r="BT7" s="79"/>
      <c r="BU7" s="79"/>
      <c r="BV7" s="79"/>
      <c r="BW7" s="79"/>
      <c r="BX7" s="79"/>
      <c r="BY7" s="79"/>
      <c r="BZ7" s="79"/>
      <c r="CA7" s="79"/>
      <c r="CB7" s="79"/>
      <c r="CM7" s="104"/>
      <c r="CN7" s="104"/>
      <c r="CO7" s="108">
        <f>(CX30+AZ58)^2+(DC30+BF58)^2</f>
        <v>386509.41122080176</v>
      </c>
      <c r="CP7" s="108"/>
      <c r="CQ7" s="108"/>
      <c r="CR7" s="108"/>
      <c r="CS7" s="108"/>
      <c r="CT7" s="108"/>
      <c r="CU7" s="108"/>
      <c r="CV7" s="104"/>
      <c r="CW7" s="104"/>
      <c r="CX7" s="108">
        <f>CO7</f>
        <v>386509.41122080176</v>
      </c>
      <c r="CY7" s="108"/>
      <c r="CZ7" s="108"/>
      <c r="DA7" s="108"/>
      <c r="DB7" s="108"/>
      <c r="DC7" s="108"/>
      <c r="DD7" s="104"/>
      <c r="DE7" s="104"/>
      <c r="DF7" s="108"/>
      <c r="DG7" s="108"/>
      <c r="DH7" s="114"/>
      <c r="DI7" s="114"/>
      <c r="DJ7" s="114"/>
      <c r="DK7" s="114"/>
      <c r="DL7" s="108"/>
      <c r="DM7" s="108"/>
      <c r="DN7" s="114"/>
      <c r="DO7" s="114"/>
      <c r="DP7" s="114"/>
      <c r="DQ7" s="114"/>
      <c r="DR7" s="108"/>
      <c r="DS7" s="108"/>
      <c r="DT7" s="108"/>
      <c r="DU7" s="108"/>
      <c r="DV7" s="108"/>
      <c r="DW7" s="108"/>
      <c r="DX7" s="108"/>
      <c r="DY7" s="108"/>
      <c r="DZ7" s="108"/>
      <c r="EA7" s="108"/>
      <c r="EB7" s="108"/>
      <c r="EZ7" s="30" t="s">
        <v>190</v>
      </c>
      <c r="FC7" s="104">
        <f>SQRT(DF10^2+DM10^2)</f>
        <v>0.96818254279879046</v>
      </c>
      <c r="FD7" s="104"/>
      <c r="FE7" s="104"/>
      <c r="FF7" s="104"/>
      <c r="FG7" s="104"/>
      <c r="FH7" s="104"/>
      <c r="FI7" s="3" t="s">
        <v>191</v>
      </c>
      <c r="FO7" s="30" t="s">
        <v>199</v>
      </c>
      <c r="FP7" s="15">
        <v>3183</v>
      </c>
      <c r="FQ7" s="28">
        <f>1/(2*PI()*FP7)*1000000</f>
        <v>50.001552966351028</v>
      </c>
      <c r="FT7" s="36" t="s">
        <v>281</v>
      </c>
      <c r="HR7" s="32"/>
      <c r="HS7" s="48"/>
      <c r="HT7" s="77"/>
      <c r="HU7" s="76"/>
      <c r="HV7" s="76"/>
      <c r="HW7" s="76"/>
      <c r="HX7" s="32"/>
      <c r="HY7" s="77"/>
      <c r="HZ7" s="77"/>
      <c r="IA7" s="76"/>
      <c r="IB7" s="76"/>
      <c r="IC7" s="76"/>
      <c r="ID7" s="76"/>
      <c r="IE7" s="76"/>
      <c r="IF7" s="76"/>
      <c r="IG7" s="32"/>
    </row>
    <row r="8" spans="1:244" ht="15" customHeight="1">
      <c r="A8" s="79"/>
      <c r="B8" s="79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  <c r="AB8" s="86"/>
      <c r="AC8" s="79"/>
      <c r="AD8" s="87"/>
      <c r="AE8" s="79"/>
      <c r="AF8" s="79"/>
      <c r="AG8" s="79"/>
      <c r="AH8" s="79"/>
      <c r="AI8" s="79"/>
      <c r="AJ8" s="79"/>
      <c r="AK8" s="79"/>
      <c r="AL8" s="79"/>
      <c r="AM8" s="79"/>
      <c r="AN8" s="79"/>
      <c r="AO8" s="79"/>
      <c r="AP8" s="79"/>
      <c r="AQ8" s="79"/>
      <c r="AR8" s="79"/>
      <c r="AS8" s="79"/>
      <c r="AT8" s="79"/>
      <c r="AU8" s="79"/>
      <c r="AV8" s="79"/>
      <c r="AW8" s="79"/>
      <c r="AX8" s="79"/>
      <c r="AY8" s="79"/>
      <c r="AZ8" s="79"/>
      <c r="BA8" s="79"/>
      <c r="BB8" s="79"/>
      <c r="BC8" s="79"/>
      <c r="BD8" s="79"/>
      <c r="BE8" s="79"/>
      <c r="BF8" s="79"/>
      <c r="BG8" s="79"/>
      <c r="BH8" s="79"/>
      <c r="BI8" s="79"/>
      <c r="BJ8" s="79"/>
      <c r="BK8" s="79"/>
      <c r="BL8" s="79"/>
      <c r="BM8" s="79"/>
      <c r="BN8" s="79"/>
      <c r="BO8" s="79"/>
      <c r="BP8" s="79"/>
      <c r="BQ8" s="79"/>
      <c r="BR8" s="79"/>
      <c r="BS8" s="79"/>
      <c r="BT8" s="79"/>
      <c r="BU8" s="79"/>
      <c r="BV8" s="79"/>
      <c r="BW8" s="79"/>
      <c r="BX8" s="79"/>
      <c r="BY8" s="79"/>
      <c r="BZ8" s="79"/>
      <c r="CA8" s="79"/>
      <c r="CB8" s="79" t="s">
        <v>63</v>
      </c>
      <c r="CE8" s="30" t="s">
        <v>62</v>
      </c>
      <c r="CL8" s="104" t="s">
        <v>78</v>
      </c>
      <c r="CM8" s="104"/>
      <c r="CN8" s="104" t="s">
        <v>79</v>
      </c>
      <c r="CO8" s="104"/>
      <c r="CP8" s="105" t="s">
        <v>80</v>
      </c>
      <c r="CQ8" s="105"/>
      <c r="CR8" s="105"/>
      <c r="CS8" s="104" t="s">
        <v>33</v>
      </c>
      <c r="CT8" s="104" t="s">
        <v>79</v>
      </c>
      <c r="CU8" s="104"/>
      <c r="CV8" s="106" t="s">
        <v>140</v>
      </c>
      <c r="CW8" s="106"/>
      <c r="CX8" s="106"/>
      <c r="CY8" s="106"/>
      <c r="CZ8" s="106"/>
      <c r="DA8" s="106"/>
      <c r="DB8" s="106"/>
      <c r="DC8" s="106"/>
      <c r="DD8" s="106"/>
      <c r="DE8" s="106"/>
      <c r="DF8" s="106"/>
      <c r="DG8" s="104" t="s">
        <v>33</v>
      </c>
      <c r="DH8" s="104" t="s">
        <v>144</v>
      </c>
      <c r="DI8" s="104"/>
      <c r="DJ8" s="106" t="s">
        <v>142</v>
      </c>
      <c r="DK8" s="106"/>
      <c r="DL8" s="106"/>
      <c r="DM8" s="106"/>
      <c r="DN8" s="106"/>
      <c r="DO8" s="106"/>
      <c r="DP8" s="106"/>
      <c r="DQ8" s="106"/>
      <c r="DR8" s="106"/>
      <c r="DS8" s="106"/>
      <c r="DT8" s="107" t="s">
        <v>115</v>
      </c>
      <c r="DU8" s="104"/>
      <c r="DV8" s="106" t="s">
        <v>143</v>
      </c>
      <c r="DW8" s="106"/>
      <c r="DX8" s="106"/>
      <c r="DY8" s="106"/>
      <c r="DZ8" s="106"/>
      <c r="EA8" s="106"/>
      <c r="EB8" s="106"/>
      <c r="EC8" s="106"/>
      <c r="ED8" s="106"/>
      <c r="EE8" s="106"/>
      <c r="EF8" s="113" t="s">
        <v>137</v>
      </c>
      <c r="FO8" s="30" t="s">
        <v>200</v>
      </c>
      <c r="FP8" s="15">
        <v>318.3</v>
      </c>
      <c r="FQ8" s="28">
        <f>1/(2*PI()*FP8)*1000000</f>
        <v>500.01552966351034</v>
      </c>
      <c r="FT8" s="36" t="s">
        <v>286</v>
      </c>
      <c r="HR8" s="32"/>
      <c r="HS8" s="48"/>
      <c r="HT8" s="77"/>
      <c r="HU8" s="76"/>
      <c r="HV8" s="76"/>
      <c r="HW8" s="76"/>
      <c r="HX8" s="32"/>
      <c r="HY8" s="77"/>
      <c r="HZ8" s="77"/>
      <c r="IA8" s="76"/>
      <c r="IB8" s="76"/>
      <c r="IC8" s="76"/>
      <c r="ID8" s="76"/>
      <c r="IE8" s="76"/>
      <c r="IF8" s="76"/>
      <c r="IG8" s="32"/>
    </row>
    <row r="9" spans="1:244" ht="15" customHeight="1">
      <c r="A9" s="79"/>
      <c r="B9" s="79"/>
      <c r="C9" s="79"/>
      <c r="D9" s="79"/>
      <c r="E9" s="88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79"/>
      <c r="AX9" s="79"/>
      <c r="AY9" s="79"/>
      <c r="AZ9" s="84"/>
      <c r="BA9" s="79"/>
      <c r="BB9" s="79"/>
      <c r="BC9" s="79"/>
      <c r="BD9" s="79"/>
      <c r="BE9" s="79"/>
      <c r="BF9" s="79"/>
      <c r="BG9" s="79"/>
      <c r="BH9" s="79"/>
      <c r="BI9" s="79"/>
      <c r="BJ9" s="79"/>
      <c r="BK9" s="79"/>
      <c r="BL9" s="79"/>
      <c r="BM9" s="79"/>
      <c r="BN9" s="79"/>
      <c r="BO9" s="79"/>
      <c r="BP9" s="79"/>
      <c r="BQ9" s="79"/>
      <c r="BR9" s="79"/>
      <c r="BS9" s="79"/>
      <c r="BT9" s="79"/>
      <c r="BU9" s="79"/>
      <c r="BV9" s="79"/>
      <c r="BW9" s="79"/>
      <c r="BX9" s="79"/>
      <c r="BY9" s="79"/>
      <c r="BZ9" s="79"/>
      <c r="CA9" s="79"/>
      <c r="CB9" s="79"/>
      <c r="CL9" s="104"/>
      <c r="CM9" s="104"/>
      <c r="CN9" s="104"/>
      <c r="CO9" s="104"/>
      <c r="CP9" s="111" t="s">
        <v>61</v>
      </c>
      <c r="CQ9" s="111"/>
      <c r="CR9" s="111"/>
      <c r="CS9" s="104"/>
      <c r="CT9" s="104"/>
      <c r="CU9" s="104"/>
      <c r="CV9" s="112" t="s">
        <v>139</v>
      </c>
      <c r="CW9" s="112"/>
      <c r="CX9" s="112"/>
      <c r="CY9" s="112"/>
      <c r="CZ9" s="112"/>
      <c r="DA9" s="112"/>
      <c r="DB9" s="112"/>
      <c r="DC9" s="112"/>
      <c r="DD9" s="112"/>
      <c r="DE9" s="112"/>
      <c r="DF9" s="112"/>
      <c r="DG9" s="104"/>
      <c r="DH9" s="104"/>
      <c r="DI9" s="104"/>
      <c r="DJ9" s="108" t="s">
        <v>141</v>
      </c>
      <c r="DK9" s="108"/>
      <c r="DL9" s="108"/>
      <c r="DM9" s="108"/>
      <c r="DN9" s="108"/>
      <c r="DO9" s="108"/>
      <c r="DP9" s="108"/>
      <c r="DQ9" s="108"/>
      <c r="DR9" s="108"/>
      <c r="DS9" s="108"/>
      <c r="DT9" s="104"/>
      <c r="DU9" s="104"/>
      <c r="DV9" s="108" t="s">
        <v>141</v>
      </c>
      <c r="DW9" s="108"/>
      <c r="DX9" s="108"/>
      <c r="DY9" s="108"/>
      <c r="DZ9" s="108"/>
      <c r="EA9" s="108"/>
      <c r="EB9" s="108"/>
      <c r="EC9" s="108"/>
      <c r="ED9" s="108"/>
      <c r="EE9" s="108"/>
      <c r="EF9" s="113"/>
      <c r="FO9" s="30" t="s">
        <v>201</v>
      </c>
      <c r="FP9" s="30">
        <v>75</v>
      </c>
      <c r="FQ9" s="28">
        <f>1/(2*PI()*FP9)*1000000</f>
        <v>2122.065907891938</v>
      </c>
      <c r="FT9" s="36" t="s">
        <v>282</v>
      </c>
      <c r="HR9" s="32"/>
      <c r="HS9" s="48"/>
      <c r="HT9" s="48"/>
      <c r="HU9" s="76"/>
      <c r="HV9" s="76"/>
      <c r="HW9" s="76"/>
      <c r="HX9" s="32"/>
      <c r="HY9" s="48"/>
      <c r="HZ9" s="48"/>
      <c r="IA9" s="76"/>
      <c r="IB9" s="76"/>
      <c r="IC9" s="76"/>
      <c r="ID9" s="76"/>
      <c r="IE9" s="76"/>
      <c r="IF9" s="76"/>
      <c r="IG9" s="32"/>
    </row>
    <row r="10" spans="1:244" ht="15" customHeight="1">
      <c r="A10" s="79"/>
      <c r="B10" s="79"/>
      <c r="C10" s="79"/>
      <c r="D10" s="79"/>
      <c r="E10" s="79"/>
      <c r="F10" s="79"/>
      <c r="G10" s="79"/>
      <c r="H10" s="79" t="s">
        <v>3</v>
      </c>
      <c r="I10" s="79"/>
      <c r="J10" s="79"/>
      <c r="K10" s="79"/>
      <c r="L10" s="79"/>
      <c r="M10" s="79" t="s">
        <v>3</v>
      </c>
      <c r="N10" s="79"/>
      <c r="O10" s="79"/>
      <c r="P10" s="79"/>
      <c r="Q10" s="79"/>
      <c r="R10" s="79" t="s">
        <v>4</v>
      </c>
      <c r="S10" s="79"/>
      <c r="T10" s="79"/>
      <c r="U10" s="79"/>
      <c r="V10" s="79"/>
      <c r="W10" s="79" t="s">
        <v>4</v>
      </c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79"/>
      <c r="AS10" s="79"/>
      <c r="AT10" s="79"/>
      <c r="AU10" s="79"/>
      <c r="AV10" s="79"/>
      <c r="AW10" s="79"/>
      <c r="AX10" s="79"/>
      <c r="AY10" s="79"/>
      <c r="AZ10" s="79"/>
      <c r="BA10" s="79"/>
      <c r="BB10" s="79"/>
      <c r="BC10" s="79"/>
      <c r="BD10" s="79"/>
      <c r="BE10" s="79"/>
      <c r="BF10" s="79"/>
      <c r="BG10" s="79"/>
      <c r="BH10" s="79"/>
      <c r="BI10" s="79"/>
      <c r="BJ10" s="79"/>
      <c r="BK10" s="79"/>
      <c r="BL10" s="79"/>
      <c r="BM10" s="79"/>
      <c r="BN10" s="79"/>
      <c r="BO10" s="79"/>
      <c r="BP10" s="79"/>
      <c r="BQ10" s="79"/>
      <c r="BR10" s="79"/>
      <c r="BS10" s="79"/>
      <c r="BT10" s="79"/>
      <c r="BU10" s="79"/>
      <c r="BV10" s="79"/>
      <c r="BW10" s="79"/>
      <c r="BX10" s="79"/>
      <c r="BY10" s="79"/>
      <c r="BZ10" s="79"/>
      <c r="CA10" s="79"/>
      <c r="CB10" s="79"/>
      <c r="CD10" s="104" t="s">
        <v>33</v>
      </c>
      <c r="CE10" s="104" t="s">
        <v>64</v>
      </c>
      <c r="CF10" s="104"/>
      <c r="CG10" s="105" t="s">
        <v>65</v>
      </c>
      <c r="CH10" s="105"/>
      <c r="CI10" s="105"/>
      <c r="CM10" s="104" t="s">
        <v>33</v>
      </c>
      <c r="CN10" s="104" t="s">
        <v>144</v>
      </c>
      <c r="CO10" s="104"/>
      <c r="CP10" s="106">
        <f>BP50*(BP50-CX30)+BV50*(BV50-DC30)</f>
        <v>370581.01988268591</v>
      </c>
      <c r="CQ10" s="106"/>
      <c r="CR10" s="106"/>
      <c r="CS10" s="106"/>
      <c r="CT10" s="106"/>
      <c r="CU10" s="107" t="s">
        <v>115</v>
      </c>
      <c r="CV10" s="104"/>
      <c r="CW10" s="106">
        <f>(BP50*(BV50-DC30)-BV50*(BP50-CX30))</f>
        <v>-30459.527841863561</v>
      </c>
      <c r="CX10" s="106"/>
      <c r="CY10" s="106"/>
      <c r="CZ10" s="106"/>
      <c r="DA10" s="106"/>
      <c r="DB10" s="104" t="s">
        <v>137</v>
      </c>
      <c r="DC10" s="104" t="s">
        <v>33</v>
      </c>
      <c r="DD10" s="108" t="s">
        <v>144</v>
      </c>
      <c r="DE10" s="108"/>
      <c r="DF10" s="117">
        <f>CP10/CP11</f>
        <v>0.96492857309645741</v>
      </c>
      <c r="DG10" s="117"/>
      <c r="DH10" s="117"/>
      <c r="DI10" s="117"/>
      <c r="DJ10" s="117"/>
      <c r="DK10" s="115" t="s">
        <v>115</v>
      </c>
      <c r="DL10" s="116"/>
      <c r="DM10" s="117">
        <f>CW10/CW11</f>
        <v>-7.9311316987970837E-2</v>
      </c>
      <c r="DN10" s="117"/>
      <c r="DO10" s="117"/>
      <c r="DP10" s="117"/>
      <c r="DQ10" s="117"/>
      <c r="DR10" s="108" t="s">
        <v>137</v>
      </c>
      <c r="DS10" s="108" t="s">
        <v>33</v>
      </c>
      <c r="DT10" s="108" t="s">
        <v>144</v>
      </c>
      <c r="DU10" s="108"/>
      <c r="DV10" s="108" t="s">
        <v>145</v>
      </c>
      <c r="DW10" s="108"/>
      <c r="DX10" s="109" t="s">
        <v>115</v>
      </c>
      <c r="DY10" s="108"/>
      <c r="DZ10" s="108" t="s">
        <v>149</v>
      </c>
      <c r="EA10" s="108"/>
      <c r="EB10" s="108" t="s">
        <v>137</v>
      </c>
      <c r="EC10" s="2"/>
      <c r="EZ10" s="30" t="s">
        <v>193</v>
      </c>
      <c r="FC10" s="104">
        <f>SQRT(DL18^2+DR18^2)</f>
        <v>0.99584788100239607</v>
      </c>
      <c r="FD10" s="104"/>
      <c r="FE10" s="104"/>
      <c r="FF10" s="104"/>
      <c r="FG10" s="104"/>
      <c r="FH10" s="104"/>
      <c r="FI10" s="3" t="s">
        <v>195</v>
      </c>
      <c r="FO10" s="30" t="s">
        <v>283</v>
      </c>
      <c r="FP10" s="30">
        <f>FP7/FP8</f>
        <v>10</v>
      </c>
      <c r="FT10" s="30" t="s">
        <v>6</v>
      </c>
      <c r="FZ10" s="30" t="s">
        <v>289</v>
      </c>
      <c r="HR10" s="32"/>
      <c r="HS10" s="48"/>
      <c r="HT10" s="48"/>
      <c r="HU10" s="76"/>
      <c r="HV10" s="76"/>
      <c r="HW10" s="76"/>
      <c r="HX10" s="32"/>
      <c r="HY10" s="48"/>
      <c r="HZ10" s="48"/>
      <c r="IA10" s="76"/>
      <c r="IB10" s="76"/>
      <c r="IC10" s="76"/>
      <c r="ID10" s="76"/>
      <c r="IE10" s="76"/>
      <c r="IF10" s="76"/>
      <c r="IG10" s="32"/>
    </row>
    <row r="11" spans="1:244" ht="15" customHeight="1">
      <c r="A11" s="79"/>
      <c r="B11" s="79"/>
      <c r="C11" s="79"/>
      <c r="D11" s="79"/>
      <c r="E11" s="79"/>
      <c r="F11" s="79"/>
      <c r="G11" s="79"/>
      <c r="H11" s="79"/>
      <c r="I11" s="79"/>
      <c r="J11" s="79"/>
      <c r="K11" s="79"/>
      <c r="L11" s="79"/>
      <c r="M11" s="79"/>
      <c r="N11" s="79"/>
      <c r="O11" s="79"/>
      <c r="P11" s="79"/>
      <c r="Q11" s="79"/>
      <c r="R11" s="79"/>
      <c r="S11" s="79"/>
      <c r="T11" s="79"/>
      <c r="U11" s="79"/>
      <c r="V11" s="79"/>
      <c r="W11" s="79"/>
      <c r="X11" s="79"/>
      <c r="Y11" s="79"/>
      <c r="Z11" s="79"/>
      <c r="AA11" s="79"/>
      <c r="AB11" s="79"/>
      <c r="AC11" s="79"/>
      <c r="AD11" s="79"/>
      <c r="AE11" s="79"/>
      <c r="AF11" s="79"/>
      <c r="AG11" s="97"/>
      <c r="AH11" s="79"/>
      <c r="AI11" s="79"/>
      <c r="AJ11" s="79"/>
      <c r="AK11" s="79"/>
      <c r="AL11" s="79"/>
      <c r="AM11" s="79"/>
      <c r="AN11" s="79"/>
      <c r="AO11" s="79"/>
      <c r="AP11" s="79"/>
      <c r="AQ11" s="79"/>
      <c r="AR11" s="79"/>
      <c r="AS11" s="79"/>
      <c r="AT11" s="79"/>
      <c r="AU11" s="79"/>
      <c r="AV11" s="79"/>
      <c r="AW11" s="79"/>
      <c r="AX11" s="79"/>
      <c r="AY11" s="79"/>
      <c r="AZ11" s="79"/>
      <c r="BA11" s="79"/>
      <c r="BB11" s="79"/>
      <c r="BC11" s="79"/>
      <c r="BD11" s="79"/>
      <c r="BE11" s="79"/>
      <c r="BF11" s="79"/>
      <c r="BG11" s="79"/>
      <c r="BH11" s="79"/>
      <c r="BI11" s="79"/>
      <c r="BJ11" s="79"/>
      <c r="BK11" s="79"/>
      <c r="BL11" s="79"/>
      <c r="BM11" s="79"/>
      <c r="BN11" s="79"/>
      <c r="BO11" s="79"/>
      <c r="BP11" s="79"/>
      <c r="BQ11" s="79"/>
      <c r="BR11" s="79"/>
      <c r="BS11" s="79"/>
      <c r="BT11" s="79"/>
      <c r="BU11" s="79"/>
      <c r="BV11" s="79"/>
      <c r="BW11" s="79"/>
      <c r="BX11" s="79"/>
      <c r="BY11" s="79"/>
      <c r="BZ11" s="79"/>
      <c r="CA11" s="79"/>
      <c r="CB11" s="79"/>
      <c r="CD11" s="104"/>
      <c r="CE11" s="104"/>
      <c r="CF11" s="104"/>
      <c r="CG11" s="111" t="s">
        <v>66</v>
      </c>
      <c r="CH11" s="111"/>
      <c r="CI11" s="111"/>
      <c r="CM11" s="104"/>
      <c r="CN11" s="104"/>
      <c r="CO11" s="104"/>
      <c r="CP11" s="108">
        <f>(BP50^2+BV50^2)</f>
        <v>384050.20870455808</v>
      </c>
      <c r="CQ11" s="108"/>
      <c r="CR11" s="108"/>
      <c r="CS11" s="108"/>
      <c r="CT11" s="108"/>
      <c r="CU11" s="104"/>
      <c r="CV11" s="104"/>
      <c r="CW11" s="108">
        <f>CP11</f>
        <v>384050.20870455808</v>
      </c>
      <c r="CX11" s="108"/>
      <c r="CY11" s="108"/>
      <c r="CZ11" s="108"/>
      <c r="DA11" s="108"/>
      <c r="DB11" s="104"/>
      <c r="DC11" s="104"/>
      <c r="DD11" s="108"/>
      <c r="DE11" s="108"/>
      <c r="DF11" s="117"/>
      <c r="DG11" s="117"/>
      <c r="DH11" s="117"/>
      <c r="DI11" s="117"/>
      <c r="DJ11" s="117"/>
      <c r="DK11" s="116"/>
      <c r="DL11" s="116"/>
      <c r="DM11" s="117"/>
      <c r="DN11" s="117"/>
      <c r="DO11" s="117"/>
      <c r="DP11" s="117"/>
      <c r="DQ11" s="117"/>
      <c r="DR11" s="108"/>
      <c r="DS11" s="108"/>
      <c r="DT11" s="108"/>
      <c r="DU11" s="108"/>
      <c r="DV11" s="108"/>
      <c r="DW11" s="108"/>
      <c r="DX11" s="108"/>
      <c r="DY11" s="108"/>
      <c r="DZ11" s="108"/>
      <c r="EA11" s="108"/>
      <c r="EB11" s="108"/>
      <c r="EC11" s="2"/>
      <c r="FO11" s="93" t="s">
        <v>38</v>
      </c>
      <c r="FP11" s="12">
        <f>FZ11</f>
        <v>490.90909090909093</v>
      </c>
      <c r="FQ11" s="30" t="s">
        <v>43</v>
      </c>
      <c r="FT11" s="30" t="s">
        <v>2</v>
      </c>
      <c r="FY11" s="93" t="s">
        <v>38</v>
      </c>
      <c r="FZ11" s="30">
        <f>FP15*(FP10-1)/(FP10+1)</f>
        <v>490.90909090909093</v>
      </c>
      <c r="GA11" s="30" t="s">
        <v>43</v>
      </c>
      <c r="HI11" s="30" t="s">
        <v>310</v>
      </c>
      <c r="HR11" s="32"/>
      <c r="HS11" s="2"/>
      <c r="HT11" s="2" t="s">
        <v>320</v>
      </c>
      <c r="HU11" s="1"/>
      <c r="HV11" s="2"/>
      <c r="HX11" s="2"/>
      <c r="HY11" s="2"/>
      <c r="HZ11" s="2"/>
      <c r="IA11" s="2"/>
      <c r="IE11" s="2"/>
      <c r="IF11" s="2"/>
      <c r="IG11" s="2"/>
      <c r="IH11" s="2"/>
      <c r="II11" s="2"/>
      <c r="IJ11" s="2"/>
    </row>
    <row r="12" spans="1:244" ht="15" customHeight="1">
      <c r="A12" s="79"/>
      <c r="B12" s="79"/>
      <c r="C12" s="79"/>
      <c r="D12" s="79"/>
      <c r="E12" s="79"/>
      <c r="F12" s="79"/>
      <c r="G12" s="79"/>
      <c r="H12" s="79"/>
      <c r="I12" s="79"/>
      <c r="J12" s="97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79"/>
      <c r="AO12" s="79"/>
      <c r="AP12" s="79"/>
      <c r="AQ12" s="170" t="s">
        <v>23</v>
      </c>
      <c r="AR12" s="170"/>
      <c r="AS12" s="79"/>
      <c r="AT12" s="79"/>
      <c r="AU12" s="79"/>
      <c r="AV12" s="79"/>
      <c r="AW12" s="79"/>
      <c r="AX12" s="79"/>
      <c r="AY12" s="79"/>
      <c r="AZ12" s="79"/>
      <c r="BA12" s="79"/>
      <c r="BB12" s="79"/>
      <c r="BC12" s="79"/>
      <c r="BD12" s="79"/>
      <c r="BE12" s="79"/>
      <c r="BF12" s="170" t="s">
        <v>24</v>
      </c>
      <c r="BG12" s="170"/>
      <c r="BH12" s="79"/>
      <c r="BI12" s="79"/>
      <c r="BJ12" s="79"/>
      <c r="BK12" s="79"/>
      <c r="BL12" s="79"/>
      <c r="BM12" s="79"/>
      <c r="BN12" s="79"/>
      <c r="BO12" s="79"/>
      <c r="BP12" s="79"/>
      <c r="BQ12" s="79"/>
      <c r="BR12" s="79"/>
      <c r="BS12" s="79"/>
      <c r="BT12" s="79"/>
      <c r="BU12" s="79"/>
      <c r="BV12" s="79"/>
      <c r="BW12" s="79"/>
      <c r="BX12" s="79"/>
      <c r="BY12" s="79"/>
      <c r="BZ12" s="79"/>
      <c r="CA12" s="79"/>
      <c r="CB12" s="79"/>
      <c r="CM12" s="30" t="s">
        <v>33</v>
      </c>
      <c r="CN12" s="30" t="s">
        <v>146</v>
      </c>
      <c r="CW12" s="30" t="s">
        <v>33</v>
      </c>
      <c r="CX12" s="30" t="s">
        <v>147</v>
      </c>
      <c r="FO12" s="93" t="s">
        <v>39</v>
      </c>
      <c r="FP12" s="26">
        <v>600</v>
      </c>
      <c r="FQ12" s="30" t="s">
        <v>43</v>
      </c>
      <c r="FY12" s="93"/>
      <c r="HI12" s="30" t="s">
        <v>311</v>
      </c>
      <c r="HR12" s="32"/>
      <c r="HS12" s="2"/>
      <c r="HT12" s="2" t="s">
        <v>321</v>
      </c>
      <c r="HU12" s="2"/>
      <c r="HV12" s="2"/>
      <c r="HW12" s="2"/>
      <c r="HX12" s="2"/>
      <c r="HY12" s="2"/>
      <c r="HZ12" s="2"/>
      <c r="IA12" s="2"/>
      <c r="IE12" s="2"/>
      <c r="IF12" s="2"/>
      <c r="IG12" s="2"/>
      <c r="IH12" s="2"/>
      <c r="II12" s="2"/>
      <c r="IJ12" s="2"/>
    </row>
    <row r="13" spans="1:244" ht="15" customHeight="1">
      <c r="A13" s="79"/>
      <c r="B13" s="79"/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  <c r="Q13" s="79"/>
      <c r="R13" s="79"/>
      <c r="S13" s="79"/>
      <c r="T13" s="79"/>
      <c r="U13" s="79"/>
      <c r="V13" s="79"/>
      <c r="W13" s="79"/>
      <c r="X13" s="79"/>
      <c r="Y13" s="79"/>
      <c r="Z13" s="79"/>
      <c r="AA13" s="79"/>
      <c r="AB13" s="79"/>
      <c r="AC13" s="79"/>
      <c r="AD13" s="79"/>
      <c r="AE13" s="79"/>
      <c r="AF13" s="79"/>
      <c r="AG13" s="79"/>
      <c r="AH13" s="79"/>
      <c r="AI13" s="79"/>
      <c r="AJ13" s="79"/>
      <c r="AK13" s="79"/>
      <c r="AL13" s="97"/>
      <c r="AM13" s="79"/>
      <c r="AN13" s="79"/>
      <c r="AO13" s="79"/>
      <c r="AP13" s="79"/>
      <c r="AQ13" s="79"/>
      <c r="AR13" s="79"/>
      <c r="AS13" s="79"/>
      <c r="AT13" s="79"/>
      <c r="AU13" s="79"/>
      <c r="AV13" s="79"/>
      <c r="AW13" s="79"/>
      <c r="AX13" s="79"/>
      <c r="AY13" s="79"/>
      <c r="AZ13" s="79"/>
      <c r="BA13" s="79"/>
      <c r="BB13" s="79"/>
      <c r="BC13" s="79"/>
      <c r="BD13" s="79"/>
      <c r="BE13" s="79"/>
      <c r="BF13" s="79"/>
      <c r="BG13" s="79"/>
      <c r="BH13" s="79"/>
      <c r="BI13" s="79"/>
      <c r="BJ13" s="79"/>
      <c r="BK13" s="79"/>
      <c r="BL13" s="79"/>
      <c r="BM13" s="79"/>
      <c r="BN13" s="79"/>
      <c r="BO13" s="79"/>
      <c r="BP13" s="79"/>
      <c r="BQ13" s="79"/>
      <c r="BR13" s="79"/>
      <c r="BS13" s="79"/>
      <c r="BT13" s="79"/>
      <c r="BU13" s="170" t="s">
        <v>58</v>
      </c>
      <c r="BV13" s="170"/>
      <c r="BW13" s="79"/>
      <c r="BX13" s="79"/>
      <c r="BY13" s="79"/>
      <c r="BZ13" s="79"/>
      <c r="CA13" s="79"/>
      <c r="CB13" s="79"/>
      <c r="CM13" s="30" t="s">
        <v>33</v>
      </c>
      <c r="CN13" s="15" t="s">
        <v>136</v>
      </c>
      <c r="CO13" s="15"/>
      <c r="CP13" s="114">
        <f>DH6*DF10-DN6*DM10</f>
        <v>0.93219087770408005</v>
      </c>
      <c r="CQ13" s="114"/>
      <c r="CR13" s="114"/>
      <c r="CS13" s="114"/>
      <c r="CT13" s="114"/>
      <c r="CU13" s="118" t="s">
        <v>115</v>
      </c>
      <c r="CV13" s="118"/>
      <c r="CW13" s="114">
        <f>DN6*DF10+DH6*DM10</f>
        <v>-0.15633560727465828</v>
      </c>
      <c r="CX13" s="114"/>
      <c r="CY13" s="114"/>
      <c r="CZ13" s="114"/>
      <c r="DA13" s="114"/>
      <c r="DB13" s="15" t="s">
        <v>137</v>
      </c>
      <c r="DC13" s="15" t="s">
        <v>33</v>
      </c>
      <c r="DD13" s="15" t="s">
        <v>136</v>
      </c>
      <c r="DE13" s="15"/>
      <c r="DF13" s="15" t="s">
        <v>150</v>
      </c>
      <c r="DG13" s="15"/>
      <c r="DH13" s="118" t="s">
        <v>151</v>
      </c>
      <c r="DI13" s="118"/>
      <c r="DJ13" s="15" t="s">
        <v>152</v>
      </c>
      <c r="DK13" s="15"/>
      <c r="DL13" s="15" t="s">
        <v>137</v>
      </c>
      <c r="EZ13" s="30" t="s">
        <v>194</v>
      </c>
      <c r="FC13" s="104">
        <f>SQRT(DI24^2+DO24^2)</f>
        <v>0.99585963479080675</v>
      </c>
      <c r="FD13" s="104"/>
      <c r="FE13" s="104"/>
      <c r="FF13" s="104"/>
      <c r="FG13" s="104"/>
      <c r="FH13" s="104"/>
      <c r="FI13" s="3" t="s">
        <v>196</v>
      </c>
      <c r="FO13" s="93" t="s">
        <v>40</v>
      </c>
      <c r="FP13" s="12">
        <f>FZ13</f>
        <v>121.21212121212122</v>
      </c>
      <c r="FQ13" s="30" t="s">
        <v>43</v>
      </c>
      <c r="FT13" s="30" t="s">
        <v>284</v>
      </c>
      <c r="FY13" s="93" t="s">
        <v>40</v>
      </c>
      <c r="FZ13" s="30">
        <f>FP15*2*FP10/(FP10^2-1)</f>
        <v>121.21212121212122</v>
      </c>
      <c r="GA13" s="30" t="s">
        <v>43</v>
      </c>
      <c r="HI13" s="26" t="s">
        <v>312</v>
      </c>
      <c r="HR13" s="32"/>
      <c r="HS13" s="59"/>
      <c r="HT13" s="2" t="s">
        <v>322</v>
      </c>
      <c r="HU13" s="76"/>
      <c r="HV13" s="76"/>
      <c r="HW13" s="76"/>
      <c r="HX13" s="32"/>
      <c r="HY13" s="48"/>
      <c r="HZ13" s="48"/>
      <c r="IA13" s="76"/>
      <c r="IB13" s="76"/>
      <c r="IC13" s="76"/>
      <c r="ID13" s="76"/>
      <c r="IE13" s="76"/>
      <c r="IF13" s="76"/>
      <c r="IG13" s="32"/>
    </row>
    <row r="14" spans="1:244" ht="15" customHeight="1">
      <c r="A14" s="79"/>
      <c r="B14" s="79"/>
      <c r="C14" s="79"/>
      <c r="D14" s="79"/>
      <c r="E14" s="79"/>
      <c r="F14" s="79"/>
      <c r="G14" s="79"/>
      <c r="H14" s="79"/>
      <c r="I14" s="79"/>
      <c r="J14" s="79"/>
      <c r="K14" s="79"/>
      <c r="L14" s="79" t="s">
        <v>8</v>
      </c>
      <c r="M14" s="79"/>
      <c r="N14" s="79"/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83"/>
      <c r="AM14" s="79"/>
      <c r="AN14" s="79"/>
      <c r="AO14" s="79"/>
      <c r="AP14" s="79"/>
      <c r="AQ14" s="79"/>
      <c r="AR14" s="79"/>
      <c r="AS14" s="79"/>
      <c r="AT14" s="79"/>
      <c r="AU14" s="79"/>
      <c r="AV14" s="79"/>
      <c r="AW14" s="79"/>
      <c r="AX14" s="79"/>
      <c r="AY14" s="79"/>
      <c r="AZ14" s="79"/>
      <c r="BA14" s="79"/>
      <c r="BB14" s="79"/>
      <c r="BC14" s="79"/>
      <c r="BD14" s="79"/>
      <c r="BE14" s="79"/>
      <c r="BF14" s="79"/>
      <c r="BG14" s="79"/>
      <c r="BH14" s="79"/>
      <c r="BI14" s="79"/>
      <c r="BJ14" s="79"/>
      <c r="BK14" s="79"/>
      <c r="BL14" s="79"/>
      <c r="BM14" s="79"/>
      <c r="BN14" s="79"/>
      <c r="BO14" s="79"/>
      <c r="BP14" s="79"/>
      <c r="BQ14" s="79"/>
      <c r="BR14" s="79"/>
      <c r="BS14" s="79"/>
      <c r="BT14" s="79"/>
      <c r="BU14" s="79"/>
      <c r="BV14" s="79"/>
      <c r="BW14" s="79"/>
      <c r="BX14" s="79"/>
      <c r="BY14" s="79"/>
      <c r="BZ14" s="79"/>
      <c r="CA14" s="79"/>
      <c r="CB14" s="79"/>
      <c r="CH14" s="2"/>
      <c r="CI14" s="2"/>
      <c r="CJ14" s="2"/>
      <c r="CK14" s="104" t="s">
        <v>81</v>
      </c>
      <c r="CL14" s="104"/>
      <c r="CM14" s="104" t="s">
        <v>82</v>
      </c>
      <c r="CN14" s="104"/>
      <c r="CO14" s="105" t="s">
        <v>83</v>
      </c>
      <c r="CP14" s="105"/>
      <c r="CQ14" s="105"/>
      <c r="CR14" s="105"/>
      <c r="CS14" s="110" t="s">
        <v>33</v>
      </c>
      <c r="CT14" s="104" t="s">
        <v>82</v>
      </c>
      <c r="CU14" s="104"/>
      <c r="CV14" s="106" t="s">
        <v>153</v>
      </c>
      <c r="CW14" s="106"/>
      <c r="CX14" s="106"/>
      <c r="CY14" s="106"/>
      <c r="CZ14" s="106"/>
      <c r="DA14" s="106"/>
      <c r="DB14" s="106"/>
      <c r="DC14" s="106"/>
      <c r="DD14" s="106"/>
      <c r="DE14" s="106"/>
      <c r="DF14" s="106"/>
      <c r="DG14" s="106"/>
      <c r="DH14" s="106"/>
      <c r="DI14" s="106"/>
      <c r="DJ14" s="106"/>
      <c r="DK14" s="106"/>
      <c r="DL14" s="106"/>
      <c r="DM14" s="2"/>
      <c r="FO14" s="93" t="s">
        <v>41</v>
      </c>
      <c r="FP14" s="12">
        <v>100000000</v>
      </c>
      <c r="FQ14" s="30" t="s">
        <v>43</v>
      </c>
      <c r="FR14" s="30" t="s">
        <v>285</v>
      </c>
      <c r="FY14" s="93"/>
      <c r="HI14" s="26" t="s">
        <v>316</v>
      </c>
      <c r="HR14" s="32"/>
      <c r="HS14" s="48"/>
      <c r="HT14" s="2" t="s">
        <v>323</v>
      </c>
      <c r="HU14" s="76"/>
      <c r="HV14" s="76"/>
      <c r="HW14" s="76"/>
      <c r="HX14" s="32"/>
      <c r="HY14" s="48"/>
      <c r="HZ14" s="48"/>
      <c r="IA14" s="76"/>
      <c r="IB14" s="76"/>
      <c r="IC14" s="76"/>
      <c r="ID14" s="76"/>
      <c r="IE14" s="76"/>
      <c r="IF14" s="76"/>
      <c r="IG14" s="32"/>
    </row>
    <row r="15" spans="1:244" ht="15" customHeight="1">
      <c r="A15" s="120"/>
      <c r="B15" s="121"/>
      <c r="C15" s="97"/>
      <c r="D15" s="97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  <c r="AL15" s="79"/>
      <c r="AM15" s="79"/>
      <c r="AN15" s="79"/>
      <c r="AO15" s="79"/>
      <c r="AP15" s="79"/>
      <c r="AQ15" s="79"/>
      <c r="AR15" s="79"/>
      <c r="AS15" s="79"/>
      <c r="AT15" s="79"/>
      <c r="AU15" s="79"/>
      <c r="AV15" s="79"/>
      <c r="AW15" s="79"/>
      <c r="AX15" s="79"/>
      <c r="AY15" s="79" t="s">
        <v>8</v>
      </c>
      <c r="AZ15" s="79"/>
      <c r="BA15" s="79"/>
      <c r="BB15" s="79"/>
      <c r="BC15" s="79"/>
      <c r="BD15" s="79"/>
      <c r="BE15" s="79"/>
      <c r="BF15" s="79"/>
      <c r="BG15" s="79"/>
      <c r="BH15" s="79"/>
      <c r="BI15" s="79"/>
      <c r="BJ15" s="79"/>
      <c r="BK15" s="79"/>
      <c r="BL15" s="79"/>
      <c r="BM15" s="79"/>
      <c r="BN15" s="79"/>
      <c r="BO15" s="79"/>
      <c r="BP15" s="79"/>
      <c r="BQ15" s="79"/>
      <c r="BR15" s="79"/>
      <c r="BS15" s="79"/>
      <c r="BT15" s="79"/>
      <c r="BU15" s="79"/>
      <c r="BV15" s="79"/>
      <c r="BW15" s="79"/>
      <c r="BX15" s="79"/>
      <c r="BY15" s="79"/>
      <c r="BZ15" s="79"/>
      <c r="CA15" s="79"/>
      <c r="CB15" s="80"/>
      <c r="CC15" s="2"/>
      <c r="CD15" s="2"/>
      <c r="CE15" s="2"/>
      <c r="CF15" s="2"/>
      <c r="CG15" s="2"/>
      <c r="CH15" s="2"/>
      <c r="CI15" s="2"/>
      <c r="CJ15" s="2"/>
      <c r="CK15" s="104"/>
      <c r="CL15" s="104"/>
      <c r="CM15" s="104"/>
      <c r="CN15" s="104"/>
      <c r="CO15" s="111" t="s">
        <v>80</v>
      </c>
      <c r="CP15" s="111"/>
      <c r="CQ15" s="111"/>
      <c r="CR15" s="111"/>
      <c r="CS15" s="110"/>
      <c r="CT15" s="104"/>
      <c r="CU15" s="104"/>
      <c r="CV15" s="116" t="s">
        <v>154</v>
      </c>
      <c r="CW15" s="116"/>
      <c r="CX15" s="116"/>
      <c r="CY15" s="116"/>
      <c r="CZ15" s="116"/>
      <c r="DA15" s="116"/>
      <c r="DB15" s="116"/>
      <c r="DC15" s="116"/>
      <c r="DD15" s="116"/>
      <c r="DE15" s="116"/>
      <c r="DF15" s="116"/>
      <c r="DG15" s="116"/>
      <c r="DH15" s="116"/>
      <c r="DI15" s="116"/>
      <c r="DJ15" s="116"/>
      <c r="DK15" s="116"/>
      <c r="DL15" s="116"/>
      <c r="DM15" s="2"/>
      <c r="FO15" s="93" t="s">
        <v>42</v>
      </c>
      <c r="FP15" s="12">
        <v>600</v>
      </c>
      <c r="FQ15" s="30" t="s">
        <v>43</v>
      </c>
      <c r="FX15" s="2"/>
      <c r="FY15" s="93"/>
      <c r="FZ15" s="2"/>
      <c r="GH15" s="2"/>
      <c r="GI15" s="2"/>
      <c r="GJ15" s="2"/>
      <c r="HI15" s="62" t="s">
        <v>327</v>
      </c>
      <c r="HR15" s="32"/>
      <c r="HS15" s="48" t="s">
        <v>276</v>
      </c>
      <c r="HT15" s="60" t="s">
        <v>324</v>
      </c>
      <c r="HU15" s="76"/>
      <c r="HV15" s="76"/>
      <c r="HW15" s="76"/>
      <c r="HX15" s="32"/>
      <c r="HY15" s="48"/>
      <c r="HZ15" s="48"/>
      <c r="IA15" s="76"/>
      <c r="IB15" s="76"/>
      <c r="IC15" s="76"/>
      <c r="ID15" s="76"/>
      <c r="IE15" s="76"/>
      <c r="IF15" s="76"/>
      <c r="IG15" s="32"/>
    </row>
    <row r="16" spans="1:244" ht="15" customHeight="1">
      <c r="A16" s="79"/>
      <c r="B16" s="79"/>
      <c r="C16" s="79"/>
      <c r="D16" s="79"/>
      <c r="E16" s="79"/>
      <c r="F16" s="79"/>
      <c r="G16" s="78"/>
      <c r="H16" s="79"/>
      <c r="I16" s="79"/>
      <c r="J16" s="79"/>
      <c r="K16" s="79"/>
      <c r="L16" s="79"/>
      <c r="M16" s="79"/>
      <c r="N16" s="79"/>
      <c r="O16" s="79"/>
      <c r="P16" s="79"/>
      <c r="Q16" s="79"/>
      <c r="R16" s="79"/>
      <c r="S16" s="79"/>
      <c r="T16" s="79"/>
      <c r="U16" s="79"/>
      <c r="V16" s="79"/>
      <c r="W16" s="79"/>
      <c r="X16" s="79"/>
      <c r="Y16" s="79"/>
      <c r="Z16" s="79"/>
      <c r="AA16" s="79"/>
      <c r="AB16" s="79"/>
      <c r="AC16" s="79"/>
      <c r="AD16" s="79"/>
      <c r="AE16" s="79"/>
      <c r="AF16" s="79"/>
      <c r="AG16" s="79"/>
      <c r="AH16" s="79"/>
      <c r="AI16" s="79"/>
      <c r="AJ16" s="79"/>
      <c r="AK16" s="79"/>
      <c r="AL16" s="79"/>
      <c r="AM16" s="79"/>
      <c r="AN16" s="79"/>
      <c r="AO16" s="79"/>
      <c r="AP16" s="79"/>
      <c r="AQ16" s="79"/>
      <c r="AR16" s="79"/>
      <c r="AS16" s="79"/>
      <c r="AT16" s="79"/>
      <c r="AU16" s="79"/>
      <c r="AV16" s="79"/>
      <c r="AW16" s="79"/>
      <c r="AX16" s="79"/>
      <c r="AY16" s="79"/>
      <c r="AZ16" s="79"/>
      <c r="BA16" s="79"/>
      <c r="BB16" s="79"/>
      <c r="BC16" s="79"/>
      <c r="BD16" s="79"/>
      <c r="BE16" s="79"/>
      <c r="BF16" s="79"/>
      <c r="BG16" s="79"/>
      <c r="BH16" s="79"/>
      <c r="BI16" s="79"/>
      <c r="BJ16" s="79"/>
      <c r="BK16" s="79"/>
      <c r="BL16" s="79"/>
      <c r="BM16" s="79"/>
      <c r="BN16" s="79"/>
      <c r="BO16" s="79"/>
      <c r="BP16" s="79"/>
      <c r="BQ16" s="79"/>
      <c r="BR16" s="79"/>
      <c r="BS16" s="79"/>
      <c r="BT16" s="79"/>
      <c r="BU16" s="79"/>
      <c r="BV16" s="79"/>
      <c r="BW16" s="79"/>
      <c r="BX16" s="79"/>
      <c r="BY16" s="79"/>
      <c r="BZ16" s="79"/>
      <c r="CA16" s="79"/>
      <c r="CB16" s="80"/>
      <c r="CC16" s="2"/>
      <c r="CD16" s="2"/>
      <c r="CE16" s="2"/>
      <c r="CF16" s="2"/>
      <c r="CG16" s="2"/>
      <c r="CH16" s="2"/>
      <c r="CI16" s="2"/>
      <c r="CJ16" s="2"/>
      <c r="CS16" s="110" t="s">
        <v>33</v>
      </c>
      <c r="CT16" s="104" t="s">
        <v>157</v>
      </c>
      <c r="CU16" s="104"/>
      <c r="CV16" s="106" t="s">
        <v>156</v>
      </c>
      <c r="CW16" s="106"/>
      <c r="CX16" s="106"/>
      <c r="CY16" s="106"/>
      <c r="CZ16" s="106"/>
      <c r="DA16" s="106"/>
      <c r="DB16" s="106"/>
      <c r="DC16" s="106"/>
      <c r="DD16" s="106"/>
      <c r="DE16" s="106"/>
      <c r="DF16" s="106"/>
      <c r="DG16" s="106"/>
      <c r="DH16" s="106"/>
      <c r="DI16" s="106"/>
      <c r="DJ16" s="106"/>
      <c r="DK16" s="106"/>
      <c r="DL16" s="106"/>
      <c r="DM16" s="110" t="s">
        <v>30</v>
      </c>
      <c r="DN16" s="104" t="s">
        <v>114</v>
      </c>
      <c r="DO16" s="123" t="s">
        <v>158</v>
      </c>
      <c r="DP16" s="123"/>
      <c r="DQ16" s="123"/>
      <c r="DR16" s="123"/>
      <c r="DS16" s="123"/>
      <c r="DT16" s="123"/>
      <c r="DU16" s="123"/>
      <c r="DV16" s="123"/>
      <c r="DW16" s="123"/>
      <c r="DX16" s="123"/>
      <c r="DY16" s="123"/>
      <c r="DZ16" s="123"/>
      <c r="EA16" s="123"/>
      <c r="EB16" s="123"/>
      <c r="EC16" s="123"/>
      <c r="ED16" s="123"/>
      <c r="EE16" s="123"/>
      <c r="EF16" s="123"/>
      <c r="EG16" s="119" t="s">
        <v>137</v>
      </c>
      <c r="EJ16" s="30" t="s">
        <v>187</v>
      </c>
      <c r="EZ16" s="30" t="s">
        <v>194</v>
      </c>
      <c r="FC16" s="104">
        <f>FC4*FC7*FC10*FC13</f>
        <v>0.9373874338899324</v>
      </c>
      <c r="FD16" s="104"/>
      <c r="FE16" s="104"/>
      <c r="FF16" s="104"/>
      <c r="FG16" s="104"/>
      <c r="FH16" s="104"/>
      <c r="FI16" s="3" t="s">
        <v>192</v>
      </c>
      <c r="FO16" s="93" t="s">
        <v>53</v>
      </c>
      <c r="FP16" s="12">
        <v>25</v>
      </c>
      <c r="FQ16" s="30" t="s">
        <v>43</v>
      </c>
      <c r="FX16" s="92"/>
      <c r="FY16" s="93"/>
      <c r="FZ16" s="92"/>
      <c r="GH16" s="92"/>
      <c r="GI16" s="92"/>
      <c r="GJ16" s="92"/>
      <c r="HI16" s="62" t="s">
        <v>328</v>
      </c>
      <c r="HR16" s="32"/>
      <c r="HS16" s="48" t="s">
        <v>277</v>
      </c>
      <c r="HT16" s="60" t="s">
        <v>325</v>
      </c>
      <c r="HU16" s="76"/>
      <c r="HV16" s="76"/>
      <c r="HW16" s="76"/>
      <c r="HX16" s="32"/>
      <c r="HY16" s="48"/>
      <c r="HZ16" s="48"/>
      <c r="IA16" s="76"/>
      <c r="IB16" s="76"/>
      <c r="IC16" s="76"/>
      <c r="ID16" s="76"/>
      <c r="IE16" s="76"/>
      <c r="IF16" s="76"/>
      <c r="IG16" s="32"/>
    </row>
    <row r="17" spans="1:244" ht="15" customHeight="1">
      <c r="A17" s="79"/>
      <c r="B17" s="79"/>
      <c r="C17" s="79"/>
      <c r="D17" s="79"/>
      <c r="E17" s="79"/>
      <c r="F17" s="79"/>
      <c r="G17" s="79"/>
      <c r="H17" s="79"/>
      <c r="I17" s="79"/>
      <c r="J17" s="79"/>
      <c r="K17" s="79"/>
      <c r="L17" s="79"/>
      <c r="M17" s="79"/>
      <c r="N17" s="79"/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79"/>
      <c r="AF17" s="79"/>
      <c r="AG17" s="79"/>
      <c r="AH17" s="79"/>
      <c r="AI17" s="79"/>
      <c r="AJ17" s="79"/>
      <c r="AK17" s="79"/>
      <c r="AL17" s="79"/>
      <c r="AM17" s="79"/>
      <c r="AN17" s="79"/>
      <c r="AO17" s="79"/>
      <c r="AP17" s="79"/>
      <c r="AQ17" s="79"/>
      <c r="AR17" s="79"/>
      <c r="AS17" s="79"/>
      <c r="AT17" s="79"/>
      <c r="AU17" s="79"/>
      <c r="AV17" s="79"/>
      <c r="AW17" s="79"/>
      <c r="AX17" s="79"/>
      <c r="AY17" s="79"/>
      <c r="AZ17" s="79"/>
      <c r="BA17" s="79"/>
      <c r="BB17" s="79"/>
      <c r="BC17" s="79"/>
      <c r="BD17" s="79"/>
      <c r="BE17" s="79"/>
      <c r="BF17" s="79"/>
      <c r="BG17" s="79"/>
      <c r="BH17" s="79"/>
      <c r="BI17" s="79"/>
      <c r="BJ17" s="79"/>
      <c r="BK17" s="79"/>
      <c r="BL17" s="79"/>
      <c r="BM17" s="79"/>
      <c r="BN17" s="79"/>
      <c r="BO17" s="79"/>
      <c r="BP17" s="79"/>
      <c r="BQ17" s="79"/>
      <c r="BR17" s="79"/>
      <c r="BS17" s="79"/>
      <c r="BT17" s="79"/>
      <c r="BU17" s="79"/>
      <c r="BV17" s="79"/>
      <c r="BW17" s="79"/>
      <c r="BX17" s="79"/>
      <c r="BY17" s="79"/>
      <c r="BZ17" s="79"/>
      <c r="CA17" s="79"/>
      <c r="CB17" s="80"/>
      <c r="CC17" s="2"/>
      <c r="CD17" s="2"/>
      <c r="CE17" s="2"/>
      <c r="CF17" s="2"/>
      <c r="CG17" s="2"/>
      <c r="CH17" s="2"/>
      <c r="CI17" s="2"/>
      <c r="CJ17" s="2"/>
      <c r="CS17" s="110"/>
      <c r="CT17" s="104"/>
      <c r="CU17" s="104"/>
      <c r="CV17" s="116" t="s">
        <v>155</v>
      </c>
      <c r="CW17" s="116"/>
      <c r="CX17" s="116"/>
      <c r="CY17" s="116"/>
      <c r="CZ17" s="116"/>
      <c r="DA17" s="116"/>
      <c r="DB17" s="116"/>
      <c r="DC17" s="116"/>
      <c r="DD17" s="116"/>
      <c r="DE17" s="116"/>
      <c r="DF17" s="116"/>
      <c r="DG17" s="116"/>
      <c r="DH17" s="116"/>
      <c r="DI17" s="116"/>
      <c r="DJ17" s="116"/>
      <c r="DK17" s="116"/>
      <c r="DL17" s="116"/>
      <c r="DM17" s="110"/>
      <c r="DN17" s="104"/>
      <c r="DO17" s="108" t="str">
        <f>CV17</f>
        <v>(Z8r-Z1r)^2+(Z8i-Z1i)^2</v>
      </c>
      <c r="DP17" s="108"/>
      <c r="DQ17" s="108"/>
      <c r="DR17" s="108"/>
      <c r="DS17" s="108"/>
      <c r="DT17" s="108"/>
      <c r="DU17" s="108"/>
      <c r="DV17" s="108"/>
      <c r="DW17" s="108"/>
      <c r="DX17" s="108"/>
      <c r="DY17" s="108"/>
      <c r="DZ17" s="108"/>
      <c r="EA17" s="108"/>
      <c r="EB17" s="108"/>
      <c r="EC17" s="108"/>
      <c r="ED17" s="108"/>
      <c r="EE17" s="108"/>
      <c r="EF17" s="108"/>
      <c r="EG17" s="119"/>
      <c r="FO17" s="93" t="s">
        <v>54</v>
      </c>
      <c r="FP17" s="12">
        <v>5</v>
      </c>
      <c r="FQ17" s="30" t="s">
        <v>43</v>
      </c>
      <c r="FY17" s="93"/>
      <c r="HH17" s="30" t="s">
        <v>317</v>
      </c>
      <c r="HI17" s="30" t="s">
        <v>329</v>
      </c>
      <c r="HR17" s="32"/>
      <c r="HS17" s="48"/>
      <c r="HT17" s="48"/>
      <c r="HU17" s="76"/>
      <c r="HV17" s="76"/>
      <c r="HW17" s="76"/>
      <c r="HX17" s="32"/>
      <c r="HY17" s="48"/>
      <c r="HZ17" s="48"/>
      <c r="IA17" s="76"/>
      <c r="IB17" s="76"/>
      <c r="IC17" s="76"/>
      <c r="ID17" s="76"/>
      <c r="IE17" s="76"/>
      <c r="IF17" s="76"/>
      <c r="IG17" s="32"/>
    </row>
    <row r="18" spans="1:244" ht="15" customHeight="1">
      <c r="A18" s="79"/>
      <c r="B18" s="79"/>
      <c r="C18" s="79"/>
      <c r="D18" s="79"/>
      <c r="E18" s="88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8"/>
      <c r="AI18" s="79"/>
      <c r="AJ18" s="79"/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79"/>
      <c r="AV18" s="79"/>
      <c r="AW18" s="79"/>
      <c r="AX18" s="79"/>
      <c r="AY18" s="79"/>
      <c r="AZ18" s="79"/>
      <c r="BA18" s="79"/>
      <c r="BB18" s="79"/>
      <c r="BC18" s="79"/>
      <c r="BD18" s="79"/>
      <c r="BE18" s="79"/>
      <c r="BF18" s="79"/>
      <c r="BG18" s="79"/>
      <c r="BH18" s="79"/>
      <c r="BI18" s="79"/>
      <c r="BJ18" s="79"/>
      <c r="BK18" s="79"/>
      <c r="BL18" s="79"/>
      <c r="BM18" s="79"/>
      <c r="BN18" s="79"/>
      <c r="BO18" s="79"/>
      <c r="BP18" s="79"/>
      <c r="BQ18" s="79"/>
      <c r="BR18" s="79"/>
      <c r="BS18" s="79"/>
      <c r="BT18" s="79"/>
      <c r="BU18" s="79"/>
      <c r="BV18" s="79"/>
      <c r="BW18" s="79"/>
      <c r="BX18" s="79"/>
      <c r="BY18" s="79"/>
      <c r="BZ18" s="79"/>
      <c r="CA18" s="79"/>
      <c r="CB18" s="80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110" t="s">
        <v>33</v>
      </c>
      <c r="CT18" s="113" t="s">
        <v>157</v>
      </c>
      <c r="CU18" s="113"/>
      <c r="CV18" s="106">
        <f>(BP50-CX30-DN34)*(BP50-CX30)+(BV50-DC30-DS34)*(BV50-DC30)</f>
        <v>358504.25025805191</v>
      </c>
      <c r="CW18" s="106"/>
      <c r="CX18" s="106"/>
      <c r="CY18" s="106"/>
      <c r="CZ18" s="106"/>
      <c r="DA18" s="122" t="s">
        <v>30</v>
      </c>
      <c r="DB18" s="113" t="s">
        <v>114</v>
      </c>
      <c r="DC18" s="106">
        <f>((BV50-DC30-DS34)*(BP50-CX30)-(BV50-DC30)*(BP50-CX30-DN34))</f>
        <v>-841.20073610146983</v>
      </c>
      <c r="DD18" s="106"/>
      <c r="DE18" s="106"/>
      <c r="DF18" s="106"/>
      <c r="DG18" s="106"/>
      <c r="DH18" s="122" t="s">
        <v>137</v>
      </c>
      <c r="DI18" s="104" t="s">
        <v>33</v>
      </c>
      <c r="DJ18" s="124" t="s">
        <v>157</v>
      </c>
      <c r="DK18" s="124"/>
      <c r="DL18" s="114">
        <f>CV18/CV19</f>
        <v>0.99584513960569976</v>
      </c>
      <c r="DM18" s="114"/>
      <c r="DN18" s="114"/>
      <c r="DO18" s="114"/>
      <c r="DP18" s="126" t="s">
        <v>115</v>
      </c>
      <c r="DQ18" s="124"/>
      <c r="DR18" s="114">
        <f>DC18/DC19</f>
        <v>-2.336668711392972E-3</v>
      </c>
      <c r="DS18" s="114"/>
      <c r="DT18" s="114"/>
      <c r="DU18" s="114"/>
      <c r="DV18" s="124" t="s">
        <v>137</v>
      </c>
      <c r="DW18" s="125" t="s">
        <v>33</v>
      </c>
      <c r="DX18" s="124" t="s">
        <v>157</v>
      </c>
      <c r="DY18" s="124"/>
      <c r="DZ18" s="125" t="s">
        <v>159</v>
      </c>
      <c r="EA18" s="125"/>
      <c r="EB18" s="125" t="s">
        <v>30</v>
      </c>
      <c r="EC18" s="124" t="s">
        <v>114</v>
      </c>
      <c r="ED18" s="124" t="s">
        <v>160</v>
      </c>
      <c r="EE18" s="124"/>
      <c r="EF18" s="124" t="s">
        <v>137</v>
      </c>
      <c r="EI18" s="30" t="s">
        <v>182</v>
      </c>
      <c r="EK18" s="105" t="s">
        <v>180</v>
      </c>
      <c r="EL18" s="105"/>
      <c r="EM18" s="105"/>
      <c r="EN18" s="105"/>
      <c r="EO18" s="104" t="s">
        <v>33</v>
      </c>
      <c r="EP18" s="106" t="s">
        <v>188</v>
      </c>
      <c r="EQ18" s="106"/>
      <c r="ER18" s="106"/>
      <c r="ES18" s="106"/>
      <c r="ET18" s="106"/>
      <c r="EU18" s="106"/>
      <c r="EV18" s="106"/>
      <c r="EW18" s="106"/>
      <c r="EX18" s="106"/>
      <c r="EY18" s="106"/>
      <c r="EZ18" s="106"/>
      <c r="FA18" s="106"/>
      <c r="FB18" s="106"/>
      <c r="FC18" s="106"/>
      <c r="FD18" s="106"/>
      <c r="FE18" s="106"/>
      <c r="FF18" s="106"/>
      <c r="FG18" s="106"/>
      <c r="FH18" s="106"/>
      <c r="FI18" s="106"/>
      <c r="FO18" s="93" t="s">
        <v>44</v>
      </c>
      <c r="FP18" s="12" cm="1">
        <f t="array" ref="FP18">FZ18:FZ18</f>
        <v>1.71882</v>
      </c>
      <c r="FQ18" s="30" t="s">
        <v>46</v>
      </c>
      <c r="FY18" s="93" t="s">
        <v>44</v>
      </c>
      <c r="FZ18" s="30">
        <f>FP15^2*FP20/1000000</f>
        <v>1.71882</v>
      </c>
      <c r="GA18" s="30" t="s">
        <v>46</v>
      </c>
      <c r="HH18" s="30" t="s">
        <v>318</v>
      </c>
      <c r="HI18" s="30" t="s">
        <v>330</v>
      </c>
      <c r="HR18" s="32"/>
      <c r="HS18" s="48"/>
      <c r="HT18" s="48"/>
      <c r="HU18" s="76"/>
      <c r="HV18" s="38"/>
      <c r="HW18" s="38"/>
      <c r="HX18" s="32"/>
      <c r="HY18" s="32"/>
      <c r="HZ18" s="32"/>
      <c r="IA18" s="32"/>
      <c r="IB18" s="32"/>
      <c r="IC18" s="32"/>
      <c r="ID18" s="32"/>
      <c r="IE18" s="32"/>
      <c r="IF18" s="32"/>
      <c r="IG18" s="32"/>
    </row>
    <row r="19" spans="1:244" ht="15" customHeight="1">
      <c r="A19" s="79"/>
      <c r="B19" s="79"/>
      <c r="C19" s="79"/>
      <c r="D19" s="79"/>
      <c r="E19" s="79"/>
      <c r="F19" s="79"/>
      <c r="G19" s="79"/>
      <c r="H19" s="79"/>
      <c r="I19" s="79"/>
      <c r="J19" s="79"/>
      <c r="K19" s="79"/>
      <c r="L19" s="79"/>
      <c r="M19" s="79"/>
      <c r="N19" s="79"/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79"/>
      <c r="AA19" s="79"/>
      <c r="AB19" s="79"/>
      <c r="AC19" s="79"/>
      <c r="AD19" s="79"/>
      <c r="AE19" s="79"/>
      <c r="AF19" s="79"/>
      <c r="AG19" s="79"/>
      <c r="AH19" s="79"/>
      <c r="AI19" s="79"/>
      <c r="AJ19" s="79"/>
      <c r="AK19" s="79"/>
      <c r="AL19" s="79"/>
      <c r="AM19" s="79"/>
      <c r="AN19" s="79"/>
      <c r="AO19" s="79"/>
      <c r="AP19" s="79"/>
      <c r="AQ19" s="79"/>
      <c r="AR19" s="79"/>
      <c r="AS19" s="79"/>
      <c r="AT19" s="79"/>
      <c r="AU19" s="79"/>
      <c r="AV19" s="79"/>
      <c r="AW19" s="79"/>
      <c r="AX19" s="79"/>
      <c r="AY19" s="79"/>
      <c r="AZ19" s="79"/>
      <c r="BA19" s="79"/>
      <c r="BB19" s="79"/>
      <c r="BC19" s="79"/>
      <c r="BD19" s="79"/>
      <c r="BE19" s="79"/>
      <c r="BF19" s="79"/>
      <c r="BG19" s="79"/>
      <c r="BH19" s="79"/>
      <c r="BI19" s="79"/>
      <c r="BJ19" s="79"/>
      <c r="BK19" s="79"/>
      <c r="BL19" s="79"/>
      <c r="BM19" s="79"/>
      <c r="BN19" s="79"/>
      <c r="BO19" s="79"/>
      <c r="BP19" s="79"/>
      <c r="BQ19" s="79"/>
      <c r="BR19" s="79"/>
      <c r="BS19" s="79"/>
      <c r="BT19" s="79"/>
      <c r="BU19" s="79"/>
      <c r="BV19" s="79"/>
      <c r="BW19" s="79"/>
      <c r="BX19" s="79"/>
      <c r="BY19" s="79"/>
      <c r="BZ19" s="79"/>
      <c r="CA19" s="79"/>
      <c r="CB19" s="80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110"/>
      <c r="CT19" s="113"/>
      <c r="CU19" s="113"/>
      <c r="CV19" s="116">
        <f>((BP50-CX30)^2+(BV50-DC30)^2)</f>
        <v>360000</v>
      </c>
      <c r="CW19" s="116"/>
      <c r="CX19" s="116"/>
      <c r="CY19" s="116"/>
      <c r="CZ19" s="116"/>
      <c r="DA19" s="122"/>
      <c r="DB19" s="113"/>
      <c r="DC19" s="116">
        <f>CV19</f>
        <v>360000</v>
      </c>
      <c r="DD19" s="116"/>
      <c r="DE19" s="116"/>
      <c r="DF19" s="116"/>
      <c r="DG19" s="116"/>
      <c r="DH19" s="122"/>
      <c r="DI19" s="104"/>
      <c r="DJ19" s="124"/>
      <c r="DK19" s="124"/>
      <c r="DL19" s="114"/>
      <c r="DM19" s="114"/>
      <c r="DN19" s="114"/>
      <c r="DO19" s="114"/>
      <c r="DP19" s="124"/>
      <c r="DQ19" s="124"/>
      <c r="DR19" s="114"/>
      <c r="DS19" s="114"/>
      <c r="DT19" s="114"/>
      <c r="DU19" s="114"/>
      <c r="DV19" s="124"/>
      <c r="DW19" s="125"/>
      <c r="DX19" s="124"/>
      <c r="DY19" s="124"/>
      <c r="DZ19" s="125"/>
      <c r="EA19" s="125"/>
      <c r="EB19" s="125"/>
      <c r="EC19" s="124"/>
      <c r="ED19" s="124"/>
      <c r="EE19" s="124"/>
      <c r="EF19" s="124"/>
      <c r="EI19" s="2"/>
      <c r="EJ19" s="2"/>
      <c r="EK19" s="2" t="s">
        <v>131</v>
      </c>
      <c r="EL19" s="2"/>
      <c r="EM19" s="2"/>
      <c r="EN19" s="2"/>
      <c r="EO19" s="104"/>
      <c r="EP19" s="112" t="s">
        <v>186</v>
      </c>
      <c r="EQ19" s="112"/>
      <c r="ER19" s="112"/>
      <c r="ES19" s="112"/>
      <c r="ET19" s="112"/>
      <c r="EU19" s="112"/>
      <c r="EV19" s="112"/>
      <c r="EW19" s="112"/>
      <c r="EX19" s="112"/>
      <c r="EY19" s="112"/>
      <c r="EZ19" s="112"/>
      <c r="FA19" s="112"/>
      <c r="FB19" s="112"/>
      <c r="FC19" s="112"/>
      <c r="FD19" s="112"/>
      <c r="FE19" s="112"/>
      <c r="FF19" s="112"/>
      <c r="FG19" s="112"/>
      <c r="FH19" s="112"/>
      <c r="FI19" s="112"/>
      <c r="FO19" s="93" t="s">
        <v>45</v>
      </c>
      <c r="FP19" s="12">
        <f>FP9*FP15*10^(-6)</f>
        <v>4.4999999999999998E-2</v>
      </c>
      <c r="FQ19" s="30" t="s">
        <v>46</v>
      </c>
      <c r="FU19" s="98"/>
      <c r="FV19" s="98"/>
      <c r="FW19" s="98"/>
      <c r="FX19" s="98"/>
      <c r="FY19" s="93"/>
      <c r="HH19" s="30" t="s">
        <v>315</v>
      </c>
      <c r="HI19" s="30" t="s">
        <v>319</v>
      </c>
      <c r="HR19" s="32"/>
      <c r="HS19" s="48"/>
      <c r="HT19" s="48"/>
      <c r="HU19" s="76"/>
      <c r="HV19" s="76"/>
      <c r="HW19" s="76"/>
      <c r="HX19" s="32"/>
      <c r="HY19" s="32"/>
      <c r="HZ19" s="32"/>
      <c r="IA19" s="32"/>
      <c r="IB19" s="32"/>
      <c r="IC19" s="32"/>
      <c r="ID19" s="32"/>
      <c r="IE19" s="32"/>
      <c r="IF19" s="32"/>
      <c r="IG19" s="32"/>
    </row>
    <row r="20" spans="1:244" ht="15" customHeight="1">
      <c r="A20" s="79"/>
      <c r="B20" s="79"/>
      <c r="C20" s="79"/>
      <c r="D20" s="79"/>
      <c r="E20" s="79"/>
      <c r="F20" s="79"/>
      <c r="G20" s="79"/>
      <c r="H20" s="79"/>
      <c r="I20" s="79" t="s">
        <v>7</v>
      </c>
      <c r="J20" s="79"/>
      <c r="K20" s="79"/>
      <c r="L20" s="79"/>
      <c r="M20" s="79"/>
      <c r="N20" s="79"/>
      <c r="O20" s="79" t="s">
        <v>9</v>
      </c>
      <c r="P20" s="79"/>
      <c r="Q20" s="79"/>
      <c r="R20" s="79"/>
      <c r="S20" s="79"/>
      <c r="T20" s="79"/>
      <c r="U20" s="79"/>
      <c r="V20" s="79" t="s">
        <v>6</v>
      </c>
      <c r="W20" s="79"/>
      <c r="X20" s="79"/>
      <c r="Y20" s="79"/>
      <c r="Z20" s="88"/>
      <c r="AA20" s="79"/>
      <c r="AB20" s="79"/>
      <c r="AC20" s="79"/>
      <c r="AD20" s="79"/>
      <c r="AE20" s="79"/>
      <c r="AF20" s="79" t="s">
        <v>5</v>
      </c>
      <c r="AG20" s="79"/>
      <c r="AH20" s="79"/>
      <c r="AI20" s="79"/>
      <c r="AJ20" s="79"/>
      <c r="AK20" s="79"/>
      <c r="AL20" s="79"/>
      <c r="AM20" s="79"/>
      <c r="AN20" s="79"/>
      <c r="AO20" s="79"/>
      <c r="AP20" s="79"/>
      <c r="AQ20" s="79"/>
      <c r="AR20" s="79"/>
      <c r="AS20" s="79"/>
      <c r="AT20" s="79"/>
      <c r="AU20" s="79"/>
      <c r="AV20" s="79"/>
      <c r="AW20" s="79"/>
      <c r="AX20" s="79"/>
      <c r="AY20" s="79"/>
      <c r="AZ20" s="79"/>
      <c r="BA20" s="79"/>
      <c r="BB20" s="79"/>
      <c r="BC20" s="79"/>
      <c r="BD20" s="79"/>
      <c r="BE20" s="79"/>
      <c r="BF20" s="79"/>
      <c r="BG20" s="79"/>
      <c r="BH20" s="79"/>
      <c r="BI20" s="79"/>
      <c r="BJ20" s="79"/>
      <c r="BK20" s="79"/>
      <c r="BL20" s="79"/>
      <c r="BM20" s="79"/>
      <c r="BN20" s="79"/>
      <c r="BO20" s="79"/>
      <c r="BP20" s="79"/>
      <c r="BQ20" s="79"/>
      <c r="BR20" s="79"/>
      <c r="BS20" s="79"/>
      <c r="BT20" s="79"/>
      <c r="BU20" s="79"/>
      <c r="BV20" s="79"/>
      <c r="BW20" s="79"/>
      <c r="BX20" s="79"/>
      <c r="BY20" s="79"/>
      <c r="BZ20" s="79"/>
      <c r="CA20" s="79"/>
      <c r="CB20" s="80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 t="s">
        <v>33</v>
      </c>
      <c r="CT20" s="2" t="s">
        <v>161</v>
      </c>
      <c r="CU20" s="2"/>
      <c r="CV20" s="2"/>
      <c r="CW20" s="2"/>
      <c r="CX20" s="2"/>
      <c r="CY20" s="2"/>
      <c r="CZ20" s="2"/>
      <c r="DA20" s="2"/>
      <c r="DB20" s="2"/>
      <c r="DC20" s="2"/>
      <c r="DD20" s="1" t="s">
        <v>162</v>
      </c>
      <c r="DE20" s="2"/>
      <c r="DF20" s="2"/>
      <c r="DG20" s="2"/>
      <c r="DH20" s="1"/>
      <c r="DI20" s="2"/>
      <c r="DJ20" s="2"/>
      <c r="DK20" s="2"/>
      <c r="DL20" s="2"/>
      <c r="DM20" s="2"/>
      <c r="EI20" s="104" t="s">
        <v>33</v>
      </c>
      <c r="EJ20" s="104" t="s">
        <v>79</v>
      </c>
      <c r="EK20" s="104"/>
      <c r="EL20" s="106" t="s">
        <v>309</v>
      </c>
      <c r="EM20" s="106"/>
      <c r="EN20" s="106"/>
      <c r="EO20" s="106"/>
      <c r="EP20" s="106"/>
      <c r="EQ20" s="106"/>
      <c r="ER20" s="106"/>
      <c r="ES20" s="106"/>
      <c r="ET20" s="106"/>
      <c r="EU20" s="106"/>
      <c r="EV20" s="106"/>
      <c r="EW20" s="106"/>
      <c r="EX20" s="106"/>
      <c r="EY20" s="106"/>
      <c r="EZ20" s="106"/>
      <c r="FA20" s="106"/>
      <c r="FB20" s="106"/>
      <c r="FC20" s="106"/>
      <c r="FD20" s="106"/>
      <c r="FE20" s="106"/>
      <c r="FF20" s="106"/>
      <c r="FG20" s="106"/>
      <c r="FH20" s="106"/>
      <c r="FI20" s="106"/>
      <c r="FJ20" s="106"/>
      <c r="FK20" s="106"/>
      <c r="FL20" s="106"/>
      <c r="FM20" s="106"/>
      <c r="FO20" s="93" t="s">
        <v>47</v>
      </c>
      <c r="FP20" s="12">
        <f>FZ20</f>
        <v>4.7744999999999997</v>
      </c>
      <c r="FQ20" s="90" t="s">
        <v>69</v>
      </c>
      <c r="FR20" s="30">
        <f>FP20/1000000</f>
        <v>4.7744999999999998E-6</v>
      </c>
      <c r="FS20" s="30" t="s">
        <v>70</v>
      </c>
      <c r="FU20" s="98"/>
      <c r="FV20" s="98"/>
      <c r="FW20" s="98"/>
      <c r="FX20" s="98"/>
      <c r="FY20" s="93" t="s">
        <v>47</v>
      </c>
      <c r="FZ20" s="30">
        <f>FP7*(FP10-1)/(FP10*FP15)</f>
        <v>4.7744999999999997</v>
      </c>
      <c r="GA20" s="90" t="s">
        <v>69</v>
      </c>
      <c r="GB20" s="90"/>
      <c r="GC20" s="90"/>
      <c r="GD20" s="90"/>
      <c r="GE20" s="90"/>
      <c r="GF20" s="90"/>
      <c r="GG20" s="90"/>
      <c r="HH20" s="30" t="s">
        <v>313</v>
      </c>
      <c r="HI20" s="30" t="s">
        <v>332</v>
      </c>
      <c r="HR20" s="32"/>
      <c r="HS20" s="48"/>
      <c r="HT20" s="48"/>
      <c r="HU20" s="76"/>
      <c r="HV20" s="76"/>
      <c r="HW20" s="76"/>
      <c r="HX20" s="32"/>
      <c r="HY20" s="32"/>
      <c r="HZ20" s="32"/>
      <c r="IA20" s="32"/>
      <c r="IB20" s="32"/>
      <c r="IC20" s="32"/>
      <c r="ID20" s="32"/>
      <c r="IE20" s="32"/>
      <c r="IF20" s="32"/>
      <c r="IG20" s="32"/>
    </row>
    <row r="21" spans="1:244" ht="15" customHeight="1">
      <c r="A21" s="79"/>
      <c r="B21" s="79"/>
      <c r="C21" s="79"/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84"/>
      <c r="AG21" s="79"/>
      <c r="AH21" s="79"/>
      <c r="AI21" s="79"/>
      <c r="AJ21" s="79"/>
      <c r="AK21" s="79"/>
      <c r="AL21" s="79"/>
      <c r="AM21" s="79"/>
      <c r="AN21" s="79"/>
      <c r="AO21" s="79"/>
      <c r="AP21" s="84"/>
      <c r="AQ21" s="79"/>
      <c r="AR21" s="79"/>
      <c r="AS21" s="79"/>
      <c r="AT21" s="79"/>
      <c r="AU21" s="79"/>
      <c r="AV21" s="170" t="s">
        <v>7</v>
      </c>
      <c r="AW21" s="170"/>
      <c r="AX21" s="79"/>
      <c r="AY21" s="79"/>
      <c r="AZ21" s="79"/>
      <c r="BA21" s="170" t="s">
        <v>9</v>
      </c>
      <c r="BB21" s="170"/>
      <c r="BC21" s="170"/>
      <c r="BD21" s="79"/>
      <c r="BE21" s="79"/>
      <c r="BF21" s="79"/>
      <c r="BG21" s="79"/>
      <c r="BH21" s="79"/>
      <c r="BI21" s="79"/>
      <c r="BJ21" s="79"/>
      <c r="BK21" s="79"/>
      <c r="BL21" s="170" t="s">
        <v>6</v>
      </c>
      <c r="BM21" s="170"/>
      <c r="BN21" s="79"/>
      <c r="BO21" s="79"/>
      <c r="BP21" s="79"/>
      <c r="BQ21" s="79"/>
      <c r="BR21" s="79"/>
      <c r="BS21" s="79"/>
      <c r="BT21" s="79"/>
      <c r="BU21" s="170" t="s">
        <v>10</v>
      </c>
      <c r="BV21" s="170"/>
      <c r="BW21" s="79"/>
      <c r="BX21" s="79"/>
      <c r="BY21" s="79"/>
      <c r="BZ21" s="79"/>
      <c r="CA21" s="79"/>
      <c r="CB21" s="80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 t="s">
        <v>33</v>
      </c>
      <c r="CT21" s="127" t="s">
        <v>136</v>
      </c>
      <c r="CU21" s="127"/>
      <c r="CV21" s="117">
        <f>CP13*DL18-CW13*DR18</f>
        <v>0.927952450224384</v>
      </c>
      <c r="CW21" s="117"/>
      <c r="CX21" s="117"/>
      <c r="CY21" s="117"/>
      <c r="CZ21" s="117"/>
      <c r="DA21" s="128" t="s">
        <v>115</v>
      </c>
      <c r="DB21" s="128"/>
      <c r="DC21" s="117">
        <f>(CW13*DL18+CP13*DR18)</f>
        <v>-0.15786427590875102</v>
      </c>
      <c r="DD21" s="117"/>
      <c r="DE21" s="117"/>
      <c r="DF21" s="117"/>
      <c r="DG21" s="117"/>
      <c r="DH21" s="16" t="s">
        <v>137</v>
      </c>
      <c r="DI21" s="16" t="s">
        <v>33</v>
      </c>
      <c r="DJ21" s="127" t="s">
        <v>136</v>
      </c>
      <c r="DK21" s="127"/>
      <c r="DL21" s="16" t="s">
        <v>163</v>
      </c>
      <c r="DM21" s="16"/>
      <c r="DN21" s="17" t="s">
        <v>30</v>
      </c>
      <c r="DO21" s="17" t="s">
        <v>114</v>
      </c>
      <c r="DP21" s="17" t="s">
        <v>164</v>
      </c>
      <c r="DQ21" s="17"/>
      <c r="DR21" s="17" t="s">
        <v>137</v>
      </c>
      <c r="EI21" s="104"/>
      <c r="EJ21" s="104"/>
      <c r="EK21" s="104"/>
      <c r="EL21" s="112" t="s">
        <v>181</v>
      </c>
      <c r="EM21" s="112"/>
      <c r="EN21" s="112"/>
      <c r="EO21" s="112"/>
      <c r="EP21" s="112"/>
      <c r="EQ21" s="112"/>
      <c r="ER21" s="112"/>
      <c r="ES21" s="112"/>
      <c r="ET21" s="112"/>
      <c r="EU21" s="112"/>
      <c r="EV21" s="112"/>
      <c r="EW21" s="112"/>
      <c r="EX21" s="112"/>
      <c r="EY21" s="112"/>
      <c r="EZ21" s="112"/>
      <c r="FA21" s="112"/>
      <c r="FB21" s="112"/>
      <c r="FC21" s="112"/>
      <c r="FD21" s="112"/>
      <c r="FE21" s="112"/>
      <c r="FF21" s="112"/>
      <c r="FG21" s="112"/>
      <c r="FH21" s="112"/>
      <c r="FI21" s="112"/>
      <c r="FJ21" s="112"/>
      <c r="FK21" s="112"/>
      <c r="FL21" s="112"/>
      <c r="FM21" s="112"/>
      <c r="FO21" s="93" t="s">
        <v>291</v>
      </c>
      <c r="FP21" s="30">
        <f>FP9/FP15</f>
        <v>0.125</v>
      </c>
      <c r="FQ21" s="90" t="s">
        <v>69</v>
      </c>
      <c r="FU21" s="98"/>
      <c r="FV21" s="98"/>
      <c r="FW21" s="98"/>
      <c r="FX21" s="98"/>
      <c r="HH21" s="30" t="s">
        <v>314</v>
      </c>
      <c r="HI21" s="30" t="s">
        <v>331</v>
      </c>
      <c r="HR21" s="32"/>
      <c r="HS21" s="32"/>
      <c r="HT21" s="32"/>
      <c r="HU21" s="32"/>
      <c r="HV21" s="32"/>
      <c r="HW21" s="32"/>
      <c r="HX21" s="32"/>
      <c r="HY21" s="32"/>
      <c r="HZ21" s="32"/>
      <c r="IA21" s="32"/>
      <c r="IB21" s="32"/>
      <c r="IC21" s="32"/>
      <c r="ID21" s="32"/>
      <c r="IE21" s="32"/>
      <c r="IF21" s="37"/>
      <c r="IG21" s="32"/>
    </row>
    <row r="22" spans="1:244" ht="15" customHeight="1">
      <c r="A22" s="79"/>
      <c r="B22" s="79"/>
      <c r="C22" s="79"/>
      <c r="D22" s="79"/>
      <c r="E22" s="79"/>
      <c r="F22" s="79"/>
      <c r="G22" s="79"/>
      <c r="H22" s="79"/>
      <c r="I22" s="79"/>
      <c r="J22" s="79"/>
      <c r="K22" s="79"/>
      <c r="L22" s="79"/>
      <c r="M22" s="79"/>
      <c r="N22" s="79"/>
      <c r="O22" s="79"/>
      <c r="P22" s="79"/>
      <c r="Q22" s="79"/>
      <c r="R22" s="79"/>
      <c r="S22" s="79"/>
      <c r="T22" s="79"/>
      <c r="U22" s="79"/>
      <c r="V22" s="79"/>
      <c r="W22" s="79"/>
      <c r="X22" s="79"/>
      <c r="Y22" s="79"/>
      <c r="Z22" s="79"/>
      <c r="AA22" s="79"/>
      <c r="AB22" s="79"/>
      <c r="AC22" s="79"/>
      <c r="AD22" s="79"/>
      <c r="AE22" s="79"/>
      <c r="AF22" s="79"/>
      <c r="AG22" s="79"/>
      <c r="AH22" s="79"/>
      <c r="AI22" s="79"/>
      <c r="AJ22" s="79"/>
      <c r="AK22" s="79"/>
      <c r="AL22" s="79"/>
      <c r="AM22" s="79"/>
      <c r="AN22" s="79"/>
      <c r="AO22" s="79"/>
      <c r="AP22" s="79"/>
      <c r="AQ22" s="79"/>
      <c r="AR22" s="79"/>
      <c r="AS22" s="79"/>
      <c r="AT22" s="79"/>
      <c r="AU22" s="79"/>
      <c r="AV22" s="79"/>
      <c r="AW22" s="79"/>
      <c r="AX22" s="79"/>
      <c r="AY22" s="79"/>
      <c r="AZ22" s="79"/>
      <c r="BA22" s="79"/>
      <c r="BB22" s="79"/>
      <c r="BC22" s="79"/>
      <c r="BD22" s="79"/>
      <c r="BE22" s="79"/>
      <c r="BF22" s="79"/>
      <c r="BG22" s="79"/>
      <c r="BH22" s="79"/>
      <c r="BI22" s="79"/>
      <c r="BJ22" s="79"/>
      <c r="BK22" s="79"/>
      <c r="BL22" s="79"/>
      <c r="BM22" s="79"/>
      <c r="BN22" s="79"/>
      <c r="BO22" s="79"/>
      <c r="BP22" s="79"/>
      <c r="BQ22" s="79"/>
      <c r="BR22" s="79"/>
      <c r="BS22" s="79"/>
      <c r="BT22" s="79"/>
      <c r="BU22" s="79"/>
      <c r="BV22" s="79"/>
      <c r="BW22" s="79"/>
      <c r="BX22" s="79"/>
      <c r="BY22" s="79"/>
      <c r="BZ22" s="79"/>
      <c r="CA22" s="79"/>
      <c r="CB22" s="80"/>
      <c r="CC22" s="2"/>
      <c r="CD22" s="2"/>
      <c r="CE22" s="2"/>
      <c r="CF22" s="2"/>
      <c r="CG22" s="2"/>
      <c r="CH22" s="2"/>
      <c r="CI22" s="2"/>
      <c r="CJ22" s="2"/>
      <c r="CK22" s="104" t="s">
        <v>84</v>
      </c>
      <c r="CL22" s="104"/>
      <c r="CM22" s="104" t="s">
        <v>85</v>
      </c>
      <c r="CN22" s="104"/>
      <c r="CO22" s="105" t="s">
        <v>10</v>
      </c>
      <c r="CP22" s="105"/>
      <c r="CQ22" s="105"/>
      <c r="CR22" s="104" t="s">
        <v>33</v>
      </c>
      <c r="CS22" s="110" t="s">
        <v>165</v>
      </c>
      <c r="CT22" s="110"/>
      <c r="CU22" s="105" t="s">
        <v>10</v>
      </c>
      <c r="CV22" s="105"/>
      <c r="CW22" s="105"/>
      <c r="CX22" s="105"/>
      <c r="CY22" s="105"/>
      <c r="CZ22" s="104" t="s">
        <v>33</v>
      </c>
      <c r="DA22" s="110" t="s">
        <v>165</v>
      </c>
      <c r="DB22" s="110"/>
      <c r="DC22" s="105" t="s">
        <v>171</v>
      </c>
      <c r="DD22" s="105"/>
      <c r="DE22" s="105"/>
      <c r="DF22" s="105"/>
      <c r="DG22" s="105"/>
      <c r="DH22" s="105"/>
      <c r="DI22" s="105"/>
      <c r="DJ22" s="105"/>
      <c r="DK22" s="105"/>
      <c r="DL22" s="105"/>
      <c r="DM22" s="104" t="s">
        <v>33</v>
      </c>
      <c r="DN22" s="110" t="s">
        <v>166</v>
      </c>
      <c r="DO22" s="110"/>
      <c r="DP22" s="105" t="s">
        <v>168</v>
      </c>
      <c r="DQ22" s="105"/>
      <c r="DR22" s="105"/>
      <c r="DS22" s="105"/>
      <c r="DT22" s="105"/>
      <c r="DU22" s="105"/>
      <c r="DV22" s="105"/>
      <c r="DW22" s="107" t="s">
        <v>115</v>
      </c>
      <c r="DX22" s="104"/>
      <c r="DY22" s="105" t="s">
        <v>172</v>
      </c>
      <c r="DZ22" s="105"/>
      <c r="EA22" s="105"/>
      <c r="EB22" s="105"/>
      <c r="EC22" s="105"/>
      <c r="ED22" s="105"/>
      <c r="EE22" s="105"/>
      <c r="EF22" s="104" t="s">
        <v>137</v>
      </c>
      <c r="EJ22" s="104" t="s">
        <v>33</v>
      </c>
      <c r="EK22" s="104" t="s">
        <v>144</v>
      </c>
      <c r="EL22" s="104"/>
      <c r="EM22" s="106">
        <f>BH48*(CX30+DN34+BH48)-BM48*(DC30+DS34+BM48)</f>
        <v>375189.68176139024</v>
      </c>
      <c r="EN22" s="106"/>
      <c r="EO22" s="106"/>
      <c r="EP22" s="106"/>
      <c r="EQ22" s="106"/>
      <c r="ER22" s="3" t="s">
        <v>115</v>
      </c>
      <c r="ET22" s="106">
        <f>BM48*(CX30+DN34+BH48)-BH48*(DC30+DS34+BM48)</f>
        <v>-31459.582115002351</v>
      </c>
      <c r="EU22" s="106"/>
      <c r="EV22" s="106"/>
      <c r="EW22" s="106"/>
      <c r="EX22" s="110" t="s">
        <v>137</v>
      </c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93"/>
      <c r="FU22" s="98"/>
      <c r="FV22" s="98"/>
      <c r="FW22" s="98"/>
      <c r="FX22" s="98"/>
      <c r="HS22" s="89" t="s">
        <v>235</v>
      </c>
      <c r="HT22" s="89"/>
      <c r="HU22" s="89"/>
      <c r="HY22" s="89" t="s">
        <v>339</v>
      </c>
    </row>
    <row r="23" spans="1:244" ht="15" customHeight="1">
      <c r="A23" s="79"/>
      <c r="B23" s="79"/>
      <c r="C23" s="79"/>
      <c r="D23" s="79"/>
      <c r="E23" s="79"/>
      <c r="F23" s="79"/>
      <c r="G23" s="79"/>
      <c r="H23" s="79"/>
      <c r="I23" s="79"/>
      <c r="J23" s="79"/>
      <c r="K23" s="79"/>
      <c r="L23" s="79"/>
      <c r="M23" s="79"/>
      <c r="N23" s="79"/>
      <c r="O23" s="79"/>
      <c r="P23" s="79"/>
      <c r="Q23" s="79"/>
      <c r="R23" s="79"/>
      <c r="S23" s="79"/>
      <c r="T23" s="79"/>
      <c r="U23" s="79"/>
      <c r="V23" s="79"/>
      <c r="W23" s="79"/>
      <c r="X23" s="79"/>
      <c r="Y23" s="79"/>
      <c r="Z23" s="79"/>
      <c r="AA23" s="79"/>
      <c r="AB23" s="79"/>
      <c r="AC23" s="79"/>
      <c r="AD23" s="79"/>
      <c r="AE23" s="79"/>
      <c r="AF23" s="79"/>
      <c r="AG23" s="79"/>
      <c r="AH23" s="79"/>
      <c r="AI23" s="79"/>
      <c r="AJ23" s="79"/>
      <c r="AK23" s="79"/>
      <c r="AL23" s="79"/>
      <c r="AM23" s="79"/>
      <c r="AN23" s="79"/>
      <c r="AO23" s="79"/>
      <c r="AP23" s="79"/>
      <c r="AQ23" s="79"/>
      <c r="AR23" s="79"/>
      <c r="AS23" s="79"/>
      <c r="AT23" s="79"/>
      <c r="AU23" s="79"/>
      <c r="AV23" s="79"/>
      <c r="AW23" s="79"/>
      <c r="AX23" s="79"/>
      <c r="AY23" s="79"/>
      <c r="AZ23" s="79"/>
      <c r="BA23" s="79"/>
      <c r="BB23" s="79"/>
      <c r="BC23" s="79"/>
      <c r="BD23" s="79"/>
      <c r="BE23" s="79"/>
      <c r="BF23" s="79"/>
      <c r="BG23" s="79"/>
      <c r="BH23" s="79"/>
      <c r="BI23" s="79"/>
      <c r="BJ23" s="79"/>
      <c r="BK23" s="79"/>
      <c r="BL23" s="79"/>
      <c r="BM23" s="79"/>
      <c r="BN23" s="79"/>
      <c r="BO23" s="79"/>
      <c r="BP23" s="79"/>
      <c r="BQ23" s="79"/>
      <c r="BR23" s="79"/>
      <c r="BS23" s="79"/>
      <c r="BT23" s="79"/>
      <c r="BU23" s="79"/>
      <c r="BV23" s="79"/>
      <c r="BW23" s="79"/>
      <c r="BX23" s="79"/>
      <c r="BY23" s="79"/>
      <c r="BZ23" s="79"/>
      <c r="CA23" s="79"/>
      <c r="CB23" s="80"/>
      <c r="CC23" s="2"/>
      <c r="CD23" s="2"/>
      <c r="CE23" s="2"/>
      <c r="CF23" s="2"/>
      <c r="CG23" s="2"/>
      <c r="CH23" s="2"/>
      <c r="CI23" s="2"/>
      <c r="CJ23" s="2"/>
      <c r="CK23" s="104"/>
      <c r="CL23" s="104"/>
      <c r="CM23" s="104"/>
      <c r="CN23" s="104"/>
      <c r="CO23" s="111" t="s">
        <v>86</v>
      </c>
      <c r="CP23" s="111"/>
      <c r="CQ23" s="111"/>
      <c r="CR23" s="104"/>
      <c r="CS23" s="110"/>
      <c r="CT23" s="110"/>
      <c r="CU23" s="110" t="s">
        <v>169</v>
      </c>
      <c r="CV23" s="110"/>
      <c r="CW23" s="110"/>
      <c r="CX23" s="110"/>
      <c r="CY23" s="110"/>
      <c r="CZ23" s="104"/>
      <c r="DA23" s="110"/>
      <c r="DB23" s="110"/>
      <c r="DC23" s="110" t="s">
        <v>170</v>
      </c>
      <c r="DD23" s="110"/>
      <c r="DE23" s="110"/>
      <c r="DF23" s="110"/>
      <c r="DG23" s="110"/>
      <c r="DH23" s="110"/>
      <c r="DI23" s="110"/>
      <c r="DJ23" s="110"/>
      <c r="DK23" s="110"/>
      <c r="DL23" s="110"/>
      <c r="DM23" s="104"/>
      <c r="DN23" s="110"/>
      <c r="DO23" s="110"/>
      <c r="DP23" s="104" t="s">
        <v>167</v>
      </c>
      <c r="DQ23" s="104"/>
      <c r="DR23" s="104"/>
      <c r="DS23" s="104"/>
      <c r="DT23" s="104"/>
      <c r="DU23" s="104"/>
      <c r="DV23" s="104"/>
      <c r="DW23" s="104"/>
      <c r="DX23" s="104"/>
      <c r="DY23" s="104" t="s">
        <v>167</v>
      </c>
      <c r="DZ23" s="104"/>
      <c r="EA23" s="104"/>
      <c r="EB23" s="104"/>
      <c r="EC23" s="104"/>
      <c r="ED23" s="104"/>
      <c r="EE23" s="104"/>
      <c r="EF23" s="104"/>
      <c r="EJ23" s="104"/>
      <c r="EK23" s="104"/>
      <c r="EL23" s="104"/>
      <c r="EM23" s="112">
        <f>(CX30+DN34+BH48)^2+(DC30+DS34+BM48)^2</f>
        <v>390220.54806465248</v>
      </c>
      <c r="EN23" s="112"/>
      <c r="EO23" s="112"/>
      <c r="EP23" s="112"/>
      <c r="EQ23" s="112"/>
      <c r="ER23" s="112"/>
      <c r="ES23" s="112"/>
      <c r="ET23" s="112"/>
      <c r="EU23" s="112"/>
      <c r="EV23" s="112"/>
      <c r="EW23" s="112"/>
      <c r="EX23" s="110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93" t="s">
        <v>49</v>
      </c>
      <c r="FP23" s="12">
        <v>10</v>
      </c>
      <c r="FQ23" s="30" t="s">
        <v>50</v>
      </c>
      <c r="FU23" s="98"/>
      <c r="FV23" s="98"/>
      <c r="FW23" s="98"/>
      <c r="FX23" s="98"/>
      <c r="GK23" s="89"/>
      <c r="GL23" s="89"/>
      <c r="GM23" s="89"/>
      <c r="GN23" s="89"/>
      <c r="GO23" s="89"/>
      <c r="GP23" s="89"/>
      <c r="GQ23" s="89"/>
      <c r="GR23" s="89"/>
      <c r="GS23" s="89"/>
      <c r="GX23" s="89"/>
      <c r="GY23" s="89"/>
      <c r="GZ23" s="89"/>
      <c r="HA23" s="89"/>
      <c r="HB23" s="89"/>
      <c r="HC23" s="89"/>
      <c r="HD23" s="89"/>
      <c r="HE23" s="89"/>
      <c r="HF23" s="89"/>
      <c r="HG23" s="89"/>
      <c r="HH23" s="89"/>
      <c r="HI23" s="89"/>
      <c r="HJ23" s="89"/>
      <c r="HK23" s="89"/>
      <c r="HL23" s="89"/>
      <c r="HM23" s="89"/>
      <c r="HN23" s="89"/>
      <c r="HQ23" s="89" t="s">
        <v>233</v>
      </c>
      <c r="HR23" s="89" t="s">
        <v>51</v>
      </c>
      <c r="HS23" s="89" t="s">
        <v>234</v>
      </c>
      <c r="HT23" s="89"/>
      <c r="HU23" s="89"/>
      <c r="HV23" s="89">
        <f>HT56</f>
        <v>-19.938122893320692</v>
      </c>
      <c r="HW23" s="89">
        <f>HS56</f>
        <v>-19.912637365844414</v>
      </c>
      <c r="HX23" s="89"/>
      <c r="HY23" s="30">
        <f>HV23</f>
        <v>-19.938122893320692</v>
      </c>
      <c r="HZ23" s="89"/>
      <c r="IA23" s="89"/>
      <c r="IB23" s="89"/>
      <c r="IC23" s="89"/>
      <c r="ID23" s="89"/>
      <c r="IE23" s="89"/>
      <c r="IF23" s="89"/>
      <c r="IG23" s="89"/>
      <c r="IH23" s="89"/>
      <c r="II23" s="89"/>
      <c r="IJ23" s="89"/>
    </row>
    <row r="24" spans="1:244" ht="15" customHeight="1">
      <c r="A24" s="88"/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79"/>
      <c r="Q24" s="88"/>
      <c r="R24" s="88"/>
      <c r="S24" s="88"/>
      <c r="T24" s="88"/>
      <c r="U24" s="88"/>
      <c r="V24" s="88"/>
      <c r="W24" s="88"/>
      <c r="X24" s="88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79"/>
      <c r="AT24" s="79"/>
      <c r="AU24" s="79"/>
      <c r="AV24" s="79"/>
      <c r="AW24" s="79"/>
      <c r="AX24" s="79"/>
      <c r="AY24" s="79"/>
      <c r="AZ24" s="79"/>
      <c r="BA24" s="79"/>
      <c r="BB24" s="79"/>
      <c r="BC24" s="79"/>
      <c r="BD24" s="79"/>
      <c r="BE24" s="79"/>
      <c r="BF24" s="79"/>
      <c r="BG24" s="79"/>
      <c r="BH24" s="79"/>
      <c r="BI24" s="79"/>
      <c r="BJ24" s="79"/>
      <c r="BK24" s="79"/>
      <c r="BL24" s="79"/>
      <c r="BM24" s="79"/>
      <c r="BN24" s="79"/>
      <c r="BO24" s="79"/>
      <c r="BP24" s="79"/>
      <c r="BQ24" s="79"/>
      <c r="BR24" s="79"/>
      <c r="BS24" s="79"/>
      <c r="BT24" s="79"/>
      <c r="BU24" s="79"/>
      <c r="BV24" s="79"/>
      <c r="BW24" s="79"/>
      <c r="BX24" s="79"/>
      <c r="BY24" s="79"/>
      <c r="BZ24" s="79"/>
      <c r="CA24" s="79"/>
      <c r="CB24" s="80"/>
      <c r="CC24" s="2"/>
      <c r="CD24" s="2"/>
      <c r="CE24" s="2"/>
      <c r="CF24" s="2"/>
      <c r="CG24" s="2"/>
      <c r="CH24" s="2"/>
      <c r="CI24" s="2"/>
      <c r="CJ24" s="2"/>
      <c r="CR24" s="104" t="s">
        <v>33</v>
      </c>
      <c r="CS24" s="110" t="s">
        <v>166</v>
      </c>
      <c r="CT24" s="110"/>
      <c r="CU24" s="105">
        <f>(AJ34*(DN34+AJ34))</f>
        <v>361495.74974194809</v>
      </c>
      <c r="CV24" s="105"/>
      <c r="CW24" s="105"/>
      <c r="CX24" s="105"/>
      <c r="CY24" s="107" t="s">
        <v>115</v>
      </c>
      <c r="CZ24" s="104"/>
      <c r="DA24" s="105">
        <f>(-AJ34*DS34)</f>
        <v>-841.20073610146983</v>
      </c>
      <c r="DB24" s="105"/>
      <c r="DC24" s="105"/>
      <c r="DD24" s="105"/>
      <c r="DE24" s="104" t="s">
        <v>137</v>
      </c>
      <c r="DF24" s="104" t="s">
        <v>33</v>
      </c>
      <c r="DG24" s="130" t="s">
        <v>166</v>
      </c>
      <c r="DH24" s="130"/>
      <c r="DI24" s="129">
        <f>CU24/CU25</f>
        <v>0.99585693854633794</v>
      </c>
      <c r="DJ24" s="129"/>
      <c r="DK24" s="129"/>
      <c r="DL24" s="129"/>
      <c r="DM24" s="131" t="s">
        <v>115</v>
      </c>
      <c r="DN24" s="129"/>
      <c r="DO24" s="129">
        <f>DA24/DA25</f>
        <v>-2.3173594443501332E-3</v>
      </c>
      <c r="DP24" s="129"/>
      <c r="DQ24" s="129"/>
      <c r="DR24" s="129"/>
      <c r="DS24" s="129" t="s">
        <v>137</v>
      </c>
      <c r="DT24" s="129" t="s">
        <v>33</v>
      </c>
      <c r="DU24" s="130" t="s">
        <v>166</v>
      </c>
      <c r="DV24" s="130"/>
      <c r="DW24" s="129" t="s">
        <v>173</v>
      </c>
      <c r="DX24" s="129"/>
      <c r="DY24" s="131" t="s">
        <v>115</v>
      </c>
      <c r="DZ24" s="129"/>
      <c r="EA24" s="129" t="s">
        <v>174</v>
      </c>
      <c r="EB24" s="129"/>
      <c r="EC24" s="129" t="s">
        <v>137</v>
      </c>
      <c r="EK24" s="104" t="s">
        <v>33</v>
      </c>
      <c r="EL24" s="104" t="s">
        <v>144</v>
      </c>
      <c r="EM24" s="104"/>
      <c r="EN24" s="135">
        <f>EM22/EM23</f>
        <v>0.96148109991180708</v>
      </c>
      <c r="EO24" s="135"/>
      <c r="EP24" s="135"/>
      <c r="EQ24" s="135"/>
      <c r="ER24" s="104" t="s">
        <v>30</v>
      </c>
      <c r="ES24" s="104" t="s">
        <v>114</v>
      </c>
      <c r="ET24" s="108">
        <f>ET22/EM23</f>
        <v>-8.0620003920936698E-2</v>
      </c>
      <c r="EU24" s="108"/>
      <c r="EV24" s="108"/>
      <c r="EW24" s="108"/>
      <c r="EX24" s="104" t="s">
        <v>137</v>
      </c>
      <c r="EY24" s="104" t="s">
        <v>33</v>
      </c>
      <c r="EZ24" s="104" t="s">
        <v>183</v>
      </c>
      <c r="FA24" s="104"/>
      <c r="FB24" s="104"/>
      <c r="FC24" s="104"/>
      <c r="FD24" s="104"/>
      <c r="FE24" s="104"/>
      <c r="FF24" s="104"/>
      <c r="FO24" s="93" t="s">
        <v>51</v>
      </c>
      <c r="FP24" s="27">
        <f>2*PI()*FP23</f>
        <v>62.831853071795862</v>
      </c>
      <c r="FV24" s="102" t="s">
        <v>272</v>
      </c>
      <c r="FW24" s="102"/>
      <c r="FX24" s="102"/>
      <c r="FY24" s="102" t="s">
        <v>273</v>
      </c>
      <c r="FZ24" s="102"/>
      <c r="GA24" s="102"/>
      <c r="GB24" s="102" t="s">
        <v>299</v>
      </c>
      <c r="GC24" s="102"/>
      <c r="GD24" s="102"/>
      <c r="GE24" s="102" t="s">
        <v>300</v>
      </c>
      <c r="GF24" s="102"/>
      <c r="GG24" s="102"/>
      <c r="GH24" s="102" t="s">
        <v>274</v>
      </c>
      <c r="GI24" s="102"/>
      <c r="GJ24" s="102"/>
      <c r="GK24" s="99" t="s">
        <v>24</v>
      </c>
      <c r="GL24" s="100"/>
      <c r="GM24" s="101"/>
      <c r="GN24" s="99" t="s">
        <v>295</v>
      </c>
      <c r="GO24" s="100"/>
      <c r="GP24" s="101"/>
      <c r="GQ24" s="99" t="s">
        <v>303</v>
      </c>
      <c r="GR24" s="100"/>
      <c r="GS24" s="101"/>
      <c r="GT24" s="134" t="s">
        <v>275</v>
      </c>
      <c r="GU24" s="134"/>
      <c r="GV24" s="134"/>
      <c r="GW24" s="102" t="s">
        <v>77</v>
      </c>
      <c r="GX24" s="102"/>
      <c r="GY24" s="102"/>
      <c r="GZ24" s="102" t="s">
        <v>279</v>
      </c>
      <c r="HA24" s="102"/>
      <c r="HB24" s="102"/>
      <c r="HC24" s="103" t="s">
        <v>218</v>
      </c>
      <c r="HD24" s="103"/>
      <c r="HE24" s="103"/>
      <c r="HF24" s="103" t="s">
        <v>307</v>
      </c>
      <c r="HG24" s="103"/>
      <c r="HH24" s="103"/>
      <c r="HI24" s="103" t="s">
        <v>220</v>
      </c>
      <c r="HJ24" s="103"/>
      <c r="HK24" s="103"/>
      <c r="HL24" s="103" t="s">
        <v>221</v>
      </c>
      <c r="HM24" s="103"/>
      <c r="HN24" s="103"/>
      <c r="HO24" s="92" t="s">
        <v>73</v>
      </c>
      <c r="HP24" s="92"/>
      <c r="HQ24" s="30">
        <f>FP23</f>
        <v>10</v>
      </c>
      <c r="HR24" s="27">
        <f>FP24</f>
        <v>62.831853071795862</v>
      </c>
      <c r="HS24" s="30">
        <f>20*LOG(SQRT(((1+($FP$8*10^(-6)*HR24)^2)/((1+($FP$7*10^(-6)*HR24)^2)))))+19.912637</f>
        <v>19.744050705335432</v>
      </c>
      <c r="HT24" s="89" t="s">
        <v>326</v>
      </c>
      <c r="HV24" s="30" t="s">
        <v>335</v>
      </c>
      <c r="HW24" s="30" t="s">
        <v>335</v>
      </c>
    </row>
    <row r="25" spans="1:244" ht="15" customHeight="1">
      <c r="A25" s="88"/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97"/>
      <c r="Q25" s="88"/>
      <c r="R25" s="88"/>
      <c r="S25" s="88"/>
      <c r="T25" s="88"/>
      <c r="U25" s="88"/>
      <c r="V25" s="88"/>
      <c r="W25" s="88"/>
      <c r="X25" s="88"/>
      <c r="Y25" s="79"/>
      <c r="Z25" s="79"/>
      <c r="AA25" s="79"/>
      <c r="AB25" s="79"/>
      <c r="AC25" s="79"/>
      <c r="AD25" s="79"/>
      <c r="AE25" s="79"/>
      <c r="AF25" s="79"/>
      <c r="AG25" s="79"/>
      <c r="AH25" s="79"/>
      <c r="AI25" s="79"/>
      <c r="AJ25" s="79"/>
      <c r="AK25" s="79"/>
      <c r="AL25" s="79"/>
      <c r="AM25" s="79"/>
      <c r="AN25" s="79"/>
      <c r="AO25" s="79"/>
      <c r="AP25" s="79"/>
      <c r="AQ25" s="79"/>
      <c r="AR25" s="79"/>
      <c r="AS25" s="79"/>
      <c r="AT25" s="79"/>
      <c r="AU25" s="79"/>
      <c r="AV25" s="79"/>
      <c r="AW25" s="79"/>
      <c r="AX25" s="79"/>
      <c r="AY25" s="79"/>
      <c r="AZ25" s="79"/>
      <c r="BA25" s="79"/>
      <c r="BB25" s="79"/>
      <c r="BC25" s="79"/>
      <c r="BD25" s="79"/>
      <c r="BE25" s="79"/>
      <c r="BF25" s="79"/>
      <c r="BG25" s="79"/>
      <c r="BH25" s="79"/>
      <c r="BI25" s="79"/>
      <c r="BJ25" s="79"/>
      <c r="BK25" s="79"/>
      <c r="BL25" s="79"/>
      <c r="BM25" s="79"/>
      <c r="BN25" s="79"/>
      <c r="BO25" s="79"/>
      <c r="BP25" s="79"/>
      <c r="BQ25" s="79"/>
      <c r="BR25" s="79"/>
      <c r="BS25" s="79"/>
      <c r="BT25" s="79"/>
      <c r="BU25" s="79"/>
      <c r="BV25" s="79"/>
      <c r="BW25" s="79"/>
      <c r="BX25" s="79"/>
      <c r="BY25" s="79"/>
      <c r="BZ25" s="79"/>
      <c r="CA25" s="79"/>
      <c r="CB25" s="80"/>
      <c r="CC25" s="2"/>
      <c r="CD25" s="2"/>
      <c r="CE25" s="2"/>
      <c r="CF25" s="2"/>
      <c r="CG25" s="2"/>
      <c r="CH25" s="2"/>
      <c r="CI25" s="2"/>
      <c r="CJ25" s="2"/>
      <c r="CR25" s="104"/>
      <c r="CS25" s="110"/>
      <c r="CT25" s="110"/>
      <c r="CU25" s="111">
        <f>((DN34+AJ34)^2+DS34^2)</f>
        <v>362999.67972269887</v>
      </c>
      <c r="CV25" s="111"/>
      <c r="CW25" s="111"/>
      <c r="CX25" s="111"/>
      <c r="CY25" s="104"/>
      <c r="CZ25" s="104"/>
      <c r="DA25" s="104">
        <f>CU25</f>
        <v>362999.67972269887</v>
      </c>
      <c r="DB25" s="104"/>
      <c r="DC25" s="104"/>
      <c r="DD25" s="104"/>
      <c r="DE25" s="104"/>
      <c r="DF25" s="104"/>
      <c r="DG25" s="130"/>
      <c r="DH25" s="130"/>
      <c r="DI25" s="129"/>
      <c r="DJ25" s="129"/>
      <c r="DK25" s="129"/>
      <c r="DL25" s="129"/>
      <c r="DM25" s="129"/>
      <c r="DN25" s="129"/>
      <c r="DO25" s="129"/>
      <c r="DP25" s="129"/>
      <c r="DQ25" s="129"/>
      <c r="DR25" s="129"/>
      <c r="DS25" s="129"/>
      <c r="DT25" s="129"/>
      <c r="DU25" s="130"/>
      <c r="DV25" s="130"/>
      <c r="DW25" s="129"/>
      <c r="DX25" s="129"/>
      <c r="DY25" s="129"/>
      <c r="DZ25" s="129"/>
      <c r="EA25" s="129"/>
      <c r="EB25" s="129"/>
      <c r="EC25" s="129"/>
      <c r="EK25" s="104"/>
      <c r="EL25" s="104"/>
      <c r="EM25" s="104"/>
      <c r="EN25" s="135"/>
      <c r="EO25" s="135"/>
      <c r="EP25" s="135"/>
      <c r="EQ25" s="135"/>
      <c r="ER25" s="104"/>
      <c r="ES25" s="104"/>
      <c r="ET25" s="108"/>
      <c r="EU25" s="108"/>
      <c r="EV25" s="108"/>
      <c r="EW25" s="108"/>
      <c r="EX25" s="104"/>
      <c r="EY25" s="104"/>
      <c r="EZ25" s="104"/>
      <c r="FA25" s="104"/>
      <c r="FB25" s="104"/>
      <c r="FC25" s="104"/>
      <c r="FD25" s="104"/>
      <c r="FE25" s="104"/>
      <c r="FF25" s="104"/>
      <c r="FO25" s="93"/>
      <c r="FT25" s="93" t="s">
        <v>49</v>
      </c>
      <c r="FU25" s="93" t="s">
        <v>51</v>
      </c>
      <c r="FV25" s="95" t="s">
        <v>276</v>
      </c>
      <c r="FW25" s="95" t="s">
        <v>277</v>
      </c>
      <c r="FX25" s="95" t="s">
        <v>278</v>
      </c>
      <c r="FY25" s="95" t="s">
        <v>276</v>
      </c>
      <c r="FZ25" s="95" t="s">
        <v>277</v>
      </c>
      <c r="GA25" s="95" t="s">
        <v>278</v>
      </c>
      <c r="GB25" s="95" t="s">
        <v>276</v>
      </c>
      <c r="GC25" s="95" t="s">
        <v>277</v>
      </c>
      <c r="GD25" s="95" t="s">
        <v>278</v>
      </c>
      <c r="GE25" s="95" t="s">
        <v>276</v>
      </c>
      <c r="GF25" s="95" t="s">
        <v>277</v>
      </c>
      <c r="GG25" s="95" t="s">
        <v>278</v>
      </c>
      <c r="GH25" s="95" t="s">
        <v>276</v>
      </c>
      <c r="GI25" s="95" t="s">
        <v>277</v>
      </c>
      <c r="GJ25" s="95" t="s">
        <v>278</v>
      </c>
      <c r="GK25" s="54" t="s">
        <v>276</v>
      </c>
      <c r="GL25" s="54" t="s">
        <v>277</v>
      </c>
      <c r="GM25" s="54" t="s">
        <v>278</v>
      </c>
      <c r="GN25" s="54" t="s">
        <v>276</v>
      </c>
      <c r="GO25" s="54" t="s">
        <v>277</v>
      </c>
      <c r="GP25" s="54" t="s">
        <v>278</v>
      </c>
      <c r="GQ25" s="54" t="s">
        <v>276</v>
      </c>
      <c r="GR25" s="54" t="s">
        <v>277</v>
      </c>
      <c r="GS25" s="54" t="s">
        <v>278</v>
      </c>
      <c r="GT25" s="95" t="s">
        <v>276</v>
      </c>
      <c r="GU25" s="95" t="s">
        <v>277</v>
      </c>
      <c r="GV25" s="95" t="s">
        <v>278</v>
      </c>
      <c r="GW25" s="95" t="s">
        <v>276</v>
      </c>
      <c r="GX25" s="95" t="s">
        <v>277</v>
      </c>
      <c r="GY25" s="95" t="s">
        <v>278</v>
      </c>
      <c r="GZ25" s="95" t="s">
        <v>276</v>
      </c>
      <c r="HA25" s="95" t="s">
        <v>277</v>
      </c>
      <c r="HB25" s="95" t="s">
        <v>278</v>
      </c>
      <c r="HC25" s="94" t="s">
        <v>276</v>
      </c>
      <c r="HD25" s="94" t="s">
        <v>277</v>
      </c>
      <c r="HE25" s="94" t="s">
        <v>278</v>
      </c>
      <c r="HF25" s="94" t="s">
        <v>276</v>
      </c>
      <c r="HG25" s="94" t="s">
        <v>277</v>
      </c>
      <c r="HH25" s="94" t="s">
        <v>278</v>
      </c>
      <c r="HI25" s="94" t="s">
        <v>276</v>
      </c>
      <c r="HJ25" s="94" t="s">
        <v>277</v>
      </c>
      <c r="HK25" s="94" t="s">
        <v>278</v>
      </c>
      <c r="HL25" s="94" t="s">
        <v>276</v>
      </c>
      <c r="HM25" s="94" t="s">
        <v>277</v>
      </c>
      <c r="HN25" s="94" t="s">
        <v>278</v>
      </c>
      <c r="HO25" s="92" t="s">
        <v>288</v>
      </c>
      <c r="HP25" s="92" t="s">
        <v>287</v>
      </c>
      <c r="HT25" s="92" t="s">
        <v>336</v>
      </c>
      <c r="HU25" s="92" t="s">
        <v>287</v>
      </c>
      <c r="HV25" s="30" t="s">
        <v>333</v>
      </c>
      <c r="HW25" s="30" t="s">
        <v>334</v>
      </c>
      <c r="HX25" s="30" t="s">
        <v>337</v>
      </c>
      <c r="HY25" s="30" t="s">
        <v>338</v>
      </c>
      <c r="HZ25" s="30" t="s">
        <v>340</v>
      </c>
      <c r="IF25" s="35"/>
    </row>
    <row r="26" spans="1:244" ht="15" customHeight="1" thickBot="1">
      <c r="A26" s="79"/>
      <c r="B26" s="79"/>
      <c r="C26" s="79"/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79"/>
      <c r="T26" s="79"/>
      <c r="U26" s="79"/>
      <c r="V26" s="79"/>
      <c r="W26" s="79"/>
      <c r="X26" s="79"/>
      <c r="Y26" s="79"/>
      <c r="Z26" s="79"/>
      <c r="AA26" s="79"/>
      <c r="AB26" s="79"/>
      <c r="AC26" s="79"/>
      <c r="AD26" s="79"/>
      <c r="AE26" s="79"/>
      <c r="AF26" s="79"/>
      <c r="AG26" s="79"/>
      <c r="AH26" s="79"/>
      <c r="AI26" s="79"/>
      <c r="AJ26" s="79"/>
      <c r="AK26" s="79"/>
      <c r="AL26" s="79"/>
      <c r="AM26" s="79"/>
      <c r="AN26" s="79"/>
      <c r="AO26" s="79"/>
      <c r="AP26" s="79"/>
      <c r="AQ26" s="79"/>
      <c r="AR26" s="79"/>
      <c r="AS26" s="79"/>
      <c r="AT26" s="79"/>
      <c r="AU26" s="79"/>
      <c r="AV26" s="79"/>
      <c r="AW26" s="79"/>
      <c r="AX26" s="79"/>
      <c r="AY26" s="79"/>
      <c r="AZ26" s="79"/>
      <c r="BA26" s="79"/>
      <c r="BB26" s="79"/>
      <c r="BC26" s="79"/>
      <c r="BD26" s="79"/>
      <c r="BE26" s="79"/>
      <c r="BF26" s="79"/>
      <c r="BG26" s="79"/>
      <c r="BH26" s="79"/>
      <c r="BI26" s="79"/>
      <c r="BJ26" s="79"/>
      <c r="BK26" s="79"/>
      <c r="BL26" s="79"/>
      <c r="BM26" s="79"/>
      <c r="BN26" s="79"/>
      <c r="BO26" s="79"/>
      <c r="BP26" s="79"/>
      <c r="BQ26" s="79"/>
      <c r="BR26" s="79"/>
      <c r="BS26" s="79"/>
      <c r="BT26" s="79"/>
      <c r="BU26" s="79"/>
      <c r="BV26" s="79"/>
      <c r="BW26" s="79"/>
      <c r="BX26" s="79"/>
      <c r="BY26" s="79"/>
      <c r="BZ26" s="79"/>
      <c r="CA26" s="79"/>
      <c r="CB26" s="80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1" t="s">
        <v>175</v>
      </c>
      <c r="CS26" s="2"/>
      <c r="CT26" s="2"/>
      <c r="CU26" s="2"/>
      <c r="CV26" s="2"/>
      <c r="CW26" s="2"/>
      <c r="CX26" s="2"/>
      <c r="CY26" s="2"/>
      <c r="CZ26" s="2"/>
      <c r="DA26" s="2"/>
      <c r="DB26" s="2" t="s">
        <v>33</v>
      </c>
      <c r="DC26" s="110" t="s">
        <v>136</v>
      </c>
      <c r="DD26" s="110"/>
      <c r="DE26" s="110" t="s">
        <v>176</v>
      </c>
      <c r="DF26" s="110"/>
      <c r="DG26" s="110"/>
      <c r="DH26" s="110"/>
      <c r="DI26" s="110"/>
      <c r="DJ26" s="110"/>
      <c r="DK26" s="110"/>
      <c r="DL26" s="110"/>
      <c r="DM26" s="110"/>
      <c r="DN26" s="110"/>
      <c r="DO26" s="110"/>
      <c r="DP26" s="110"/>
      <c r="DQ26" s="110"/>
      <c r="DR26" s="110"/>
      <c r="DS26" s="30" t="s">
        <v>137</v>
      </c>
      <c r="FG26" s="34">
        <f>SQRT(FE26^2+FF26^2)</f>
        <v>0</v>
      </c>
      <c r="FO26" s="93" t="s">
        <v>222</v>
      </c>
      <c r="FP26" s="30">
        <f>SQRT(FP48^2+FR48^2)</f>
        <v>621.69881069598466</v>
      </c>
      <c r="FT26" s="29">
        <v>10</v>
      </c>
      <c r="FU26" s="27">
        <f>2*PI()*FT26</f>
        <v>62.831853071795862</v>
      </c>
      <c r="FV26" s="30">
        <f>$AJ$30*(2*$AJ$30*$AJ$35+$AJ$35^2+($FU26*$AJ$37)^2)/((2*$AJ$30+$AJ$35)^2+($FU26*$AJ$37)^2)</f>
        <v>17.635033137809874</v>
      </c>
      <c r="FW26" s="30">
        <f>2*$AJ$30^2*$FU26*$AJ$37/((2*$AJ$30+$AJ$35)^2+($FU26*$AJ$37)^2)</f>
        <v>50.765879736439267</v>
      </c>
      <c r="FX26" s="34">
        <f>SQRT(FV26^2+FW26^2)</f>
        <v>53.741687163562958</v>
      </c>
      <c r="FY26" s="30">
        <f>$AJ$30^2*(2*$AJ$30+$AJ$35)/((2*$AJ$30+$AJ$35)^2+($FU26*$AJ$37)^2)</f>
        <v>236.63702888564055</v>
      </c>
      <c r="FZ26" s="30">
        <f>-($AJ$30^2*$FU26*$AJ$37)/((2*$AJ$30+$AJ$35)^2+($FU26*$AJ$37)^2)</f>
        <v>-25.382939868219633</v>
      </c>
      <c r="GA26" s="34">
        <f>SQRT(FY26^2+FZ26^2)</f>
        <v>237.99448959204315</v>
      </c>
      <c r="GB26" s="34">
        <f>FP$12*(2*FP$12*FP$17+FP$17^2+(FU26*FP$19)^2)/((2*FP$12+FP$17)^2+(FU26*FP$19)^2)</f>
        <v>2.4929162365801627</v>
      </c>
      <c r="GC26" s="34">
        <f>2*FP$12^2*FU26*FP$19/((2*FP$12+FP$17)^2+(FU26*FP$19)^2)</f>
        <v>1.4020012268357831</v>
      </c>
      <c r="GD26" s="34">
        <f>SQRT(GB26^2+GC26^2)</f>
        <v>2.8601116766053107</v>
      </c>
      <c r="GE26" s="55">
        <f>FP$12^2*(2*FP$12+FP$17)/((2*FP$12+FP$17)^2+(FU26*FP$19)^2)</f>
        <v>298.75354188170991</v>
      </c>
      <c r="GF26" s="55">
        <f>-(FP$12^2*FU26*FP$19)/((2*FP$12+FP$17)^2+(FU26*FP$19)^2)</f>
        <v>-0.70100061341789155</v>
      </c>
      <c r="GG26" s="34">
        <f>SQRT(GE26^2+GF26^2)</f>
        <v>298.75436430071881</v>
      </c>
      <c r="GH26" s="30">
        <f>$FY26+$AJ$32+$AJ$33/(1+($AJ$33*$FU26*$AP$39)^2)</f>
        <v>357.96026811092923</v>
      </c>
      <c r="GI26" s="30">
        <f t="shared" ref="GI26:GI86" si="0">FZ26-($AJ$33^2*$FU26*$AP$39)/(1+($AJ$33*$FU26*$AP$39)^2)</f>
        <v>-3358.8198005875734</v>
      </c>
      <c r="GJ26" s="34">
        <f>SQRT(GH26^2+GI26^2)</f>
        <v>3377.8404353025908</v>
      </c>
      <c r="GK26" s="34">
        <f>GE26</f>
        <v>298.75354188170991</v>
      </c>
      <c r="GL26" s="34">
        <f>GF26-1/(FU26*FP$21*10^(-6))</f>
        <v>-127324.65547412972</v>
      </c>
      <c r="GM26" s="34">
        <f>SQRT(GK26^2+GL26^2)</f>
        <v>127325.00597009457</v>
      </c>
      <c r="GN26" s="55">
        <f t="shared" ref="GN26:GN86" si="1">$FP$15+FP$12*(2*FP$12*FP$17+FP$17^2+(FU26*FP$19)^2)/((2*FP$12+FP$17)^2+(FU26*FP$19)^2)</f>
        <v>602.49291623658019</v>
      </c>
      <c r="GO26" s="55">
        <f t="shared" ref="GO26:GO86" si="2">2*FP$12^2*FU26*FP$19/((2*FP$12+FP$17)^2+(FU26*FP$19)^2)</f>
        <v>1.4020012268357831</v>
      </c>
      <c r="GP26" s="34">
        <f>SQRT(GN26^2+GO26^2)</f>
        <v>602.49454746304457</v>
      </c>
      <c r="GQ26" s="55">
        <f>((GK26*GN26-GL26*GO26)*(GK26+GN26)+(GL26+GO26)*(GL26*GN26+GK26*GO26))/((GK26+GN26)^2+(GL26+GO26)^2)</f>
        <v>602.48600471203088</v>
      </c>
      <c r="GR26" s="55">
        <f>((GL26*GN26+GK26*GO26)*(GK26+GN26)-(GL26+GO26)*(GK26*GN26-GL26*GO26))/((GK26+GN26)^2+(GL26+GO26)^2)</f>
        <v>-1.4489274890099093</v>
      </c>
      <c r="GS26" s="34">
        <f>SQRT(GQ26^2+GR26^2)</f>
        <v>602.48774698306829</v>
      </c>
      <c r="GT26" s="56">
        <f>FV26+GB26+GQ26</f>
        <v>622.6139540864209</v>
      </c>
      <c r="GU26" s="56">
        <f>FW26+GC26+GR26</f>
        <v>50.718953474265142</v>
      </c>
      <c r="GV26" s="34">
        <f>SQRT(GT26^2+GU26^2)</f>
        <v>624.67635465467436</v>
      </c>
      <c r="GW26" s="30">
        <f>(($GH26*$GT26-$GI26*$GU26)*($GH26+$GT26)+($GI26+$GU26)*($GI26*$GT26+$GH26*$GU26))/(($GH26+$GT26)^2+($GI26+$GU26)^2)</f>
        <v>608.44629915469091</v>
      </c>
      <c r="GX26" s="30">
        <f t="shared" ref="GX26:GX86" si="3">(($GI26*$GT26+$GH26*$GU26)*($GH26+$GT26)-($GI26+$GU26)*($GH26*$GT26-$GI26*$GU26))/(($GH26+$GT26)^2+($GI26+$GU26)^2)</f>
        <v>-61.48539080697428</v>
      </c>
      <c r="GY26" s="34">
        <f>SQRT(GW26^2+GX26^2)</f>
        <v>611.54505331800863</v>
      </c>
      <c r="GZ26" s="34">
        <f t="shared" ref="GZ26:HA57" si="4">FV26+GW26</f>
        <v>626.08133229250075</v>
      </c>
      <c r="HA26" s="34">
        <f t="shared" si="4"/>
        <v>-10.719511070535013</v>
      </c>
      <c r="HB26" s="34">
        <f>SQRT(GZ26^2+HA26^2)</f>
        <v>626.17309313219778</v>
      </c>
      <c r="HC26" s="33">
        <f t="shared" ref="HC26:HC86" si="5">($GW26*($FV26+$GW26)+$GX26*($FW26+$GX26))/(($FV26+$GW26)^2+($FW26+$GX26)^2)</f>
        <v>0.97322883467953392</v>
      </c>
      <c r="HD26" s="33">
        <f t="shared" ref="HD26:HD86" si="6">($GX26*($FV26+$GW26)-$GW26*($FW26+$GX26))/(($FV26+$GW26)^2+($FW26+$GX26)^2)</f>
        <v>-8.1543484697945909E-2</v>
      </c>
      <c r="HE26" s="33">
        <f>SQRT(HC26^2+HD26^2)</f>
        <v>0.97663898373368641</v>
      </c>
      <c r="HF26" s="33">
        <f>$HC26*(($GT26*($GT26-$FV26)+$GU26*($GU26-$FW26))/($GT26^2+$GU26^2))-($HD26)*(($GT26*($GU26-$FW26)-$GU26*($GT26-$FV26))/($GT26^2+$GU26^2))</f>
        <v>0.93300493623255132</v>
      </c>
      <c r="HG26" s="33">
        <f t="shared" ref="HG26:HG86" si="7">$HD26*($GT26*($GT26-$FV26)+$GU26*($GU26-$FW26))/($GT26^2+$GU26^2)+$HC26*(($GT26*($GU26-$FW26)-$GU26*($GT26-$FV26))/($GT26^2+$GU26^2))</f>
        <v>-0.15531099599001416</v>
      </c>
      <c r="HH26" s="33">
        <f>SQRT(HF26^2+HG26^2)</f>
        <v>0.94584338899720455</v>
      </c>
      <c r="HI26" s="30">
        <f>(HF26*(GQ26*(GB26+GQ26)+GR26*(GC26+GR26))-HG26*(GR26*(GB26+GQ26)-GQ26*(GC26+GR26)))/((GB26+GQ26)^2+(GC26+GR26)^2)</f>
        <v>0.92880052872859831</v>
      </c>
      <c r="HJ26" s="30">
        <f>(HG26*(GQ26*(GB26+GQ26)+GR26*(GC26+GR26))+HF26*(GR26*(GB26+GQ26)-GQ26*(GC26+GR26)))/((GB26+GQ26)^2+(GC26+GR26)^2)</f>
        <v>-0.1568335185554342</v>
      </c>
      <c r="HK26" s="33">
        <f>SQRT(HI26^2+HJ26^2)</f>
        <v>0.9419486051314061</v>
      </c>
      <c r="HL26" s="61">
        <f>$FP$15*(HI26*($FP$15+GB26)+GC26*HJ26)/(($FP$15+GB26)^2+GC26^2)</f>
        <v>0.92458901142446681</v>
      </c>
      <c r="HM26" s="61">
        <f>$FP$15*(HJ26*($FP$15+GB26)-GC26*HI26)/(($FP$15+GB26)^2+GC26^2)</f>
        <v>-0.15833611232723163</v>
      </c>
      <c r="HN26" s="33">
        <f>SQRT(HL26^2+HM26^2)</f>
        <v>0.93804859389787187</v>
      </c>
      <c r="HO26" s="30">
        <f>20*LOG(HH26)</f>
        <v>-0.48361534648702198</v>
      </c>
      <c r="HP26" s="30">
        <f>HO26-HS26</f>
        <v>-0.31493261081184043</v>
      </c>
      <c r="HQ26" s="29">
        <v>10</v>
      </c>
      <c r="HR26" s="30">
        <v>62.831853071795862</v>
      </c>
      <c r="HS26" s="30">
        <f>20*LOG(SQRT(((1+($FP$8*10^(-6)*HR26)^2)/((1+($FP$7*10^(-6)*HR26)^2)*(1+($FP$9*10^(-6)*HR26)^2)))))</f>
        <v>-0.16868273567518155</v>
      </c>
      <c r="HT26" s="30">
        <f>20*LOG(HN26)</f>
        <v>-0.55549326408050703</v>
      </c>
      <c r="HU26" s="30">
        <f>HT26-HS26</f>
        <v>-0.38681052840532548</v>
      </c>
      <c r="HV26" s="30">
        <f t="shared" ref="HV26:HV86" si="8">HT26-HV$23</f>
        <v>19.382629629240185</v>
      </c>
      <c r="HW26" s="30">
        <f t="shared" ref="HW26:HW86" si="9">HS26-HW$23</f>
        <v>19.743954630169235</v>
      </c>
      <c r="HX26" s="73">
        <f t="shared" ref="HX26:HX86" si="10">HB26-FP$15</f>
        <v>26.173093132197778</v>
      </c>
      <c r="HY26" s="30">
        <f>HO26-HY$23</f>
        <v>19.454507546833671</v>
      </c>
      <c r="HZ26" s="74">
        <f>HV26-HW26</f>
        <v>-0.36132500092904962</v>
      </c>
    </row>
    <row r="27" spans="1:244" ht="15" customHeight="1" thickBot="1">
      <c r="A27" s="79"/>
      <c r="B27" s="79"/>
      <c r="C27" s="79"/>
      <c r="D27" s="79"/>
      <c r="E27" s="79"/>
      <c r="F27" s="79"/>
      <c r="G27" s="79"/>
      <c r="H27" s="79"/>
      <c r="I27" s="79"/>
      <c r="J27" s="79"/>
      <c r="K27" s="79"/>
      <c r="L27" s="79"/>
      <c r="M27" s="79"/>
      <c r="N27" s="79"/>
      <c r="O27" s="79"/>
      <c r="P27" s="79"/>
      <c r="Q27" s="79"/>
      <c r="R27" s="79"/>
      <c r="S27" s="79"/>
      <c r="T27" s="79"/>
      <c r="U27" s="79"/>
      <c r="V27" s="79"/>
      <c r="W27" s="79"/>
      <c r="X27" s="79"/>
      <c r="Y27" s="79"/>
      <c r="Z27" s="79"/>
      <c r="AA27" s="79"/>
      <c r="AB27" s="79"/>
      <c r="AC27" s="79"/>
      <c r="AD27" s="79"/>
      <c r="AE27" s="79"/>
      <c r="AF27" s="79"/>
      <c r="AG27" s="79"/>
      <c r="AH27" s="79"/>
      <c r="AI27" s="79"/>
      <c r="AJ27" s="79"/>
      <c r="AK27" s="79"/>
      <c r="AL27" s="79"/>
      <c r="AM27" s="79"/>
      <c r="AN27" s="79"/>
      <c r="AO27" s="79"/>
      <c r="AP27" s="79"/>
      <c r="AQ27" s="79"/>
      <c r="AR27" s="79"/>
      <c r="AS27" s="79"/>
      <c r="AT27" s="79"/>
      <c r="AU27" s="79"/>
      <c r="AV27" s="79"/>
      <c r="AW27" s="79"/>
      <c r="AX27" s="79"/>
      <c r="AY27" s="79"/>
      <c r="AZ27" s="79"/>
      <c r="BA27" s="79"/>
      <c r="BB27" s="79"/>
      <c r="BC27" s="79"/>
      <c r="BD27" s="79"/>
      <c r="BE27" s="79"/>
      <c r="BF27" s="79"/>
      <c r="BG27" s="79"/>
      <c r="BH27" s="79"/>
      <c r="BI27" s="79"/>
      <c r="BJ27" s="79"/>
      <c r="BK27" s="79"/>
      <c r="BL27" s="79"/>
      <c r="BM27" s="79"/>
      <c r="BN27" s="79"/>
      <c r="BO27" s="79"/>
      <c r="BP27" s="79"/>
      <c r="BQ27" s="79"/>
      <c r="BR27" s="79"/>
      <c r="BS27" s="79"/>
      <c r="BT27" s="79"/>
      <c r="BU27" s="79"/>
      <c r="BV27" s="79"/>
      <c r="BW27" s="79"/>
      <c r="BX27" s="79"/>
      <c r="BY27" s="79"/>
      <c r="BZ27" s="79"/>
      <c r="CA27" s="79"/>
      <c r="CB27" s="80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18" t="s">
        <v>33</v>
      </c>
      <c r="CT27" s="132" t="s">
        <v>136</v>
      </c>
      <c r="CU27" s="132"/>
      <c r="CV27" s="133">
        <f>CV21*DI24-DC21*DO24</f>
        <v>0.92374205792632547</v>
      </c>
      <c r="CW27" s="133"/>
      <c r="CX27" s="133"/>
      <c r="CY27" s="133"/>
      <c r="CZ27" s="133"/>
      <c r="DA27" s="19" t="s">
        <v>30</v>
      </c>
      <c r="DB27" s="19" t="s">
        <v>114</v>
      </c>
      <c r="DC27" s="133">
        <f>CV21*DO24+DC21*DI24</f>
        <v>-0.1593606338867585</v>
      </c>
      <c r="DD27" s="133"/>
      <c r="DE27" s="133"/>
      <c r="DF27" s="133"/>
      <c r="DG27" s="133"/>
      <c r="DH27" s="20" t="s">
        <v>137</v>
      </c>
      <c r="DI27" s="2"/>
      <c r="DJ27" s="2"/>
      <c r="DK27" s="2"/>
      <c r="DL27" s="2"/>
      <c r="DM27" s="2"/>
      <c r="EK27" s="30" t="s">
        <v>33</v>
      </c>
      <c r="EL27" s="30" t="s">
        <v>184</v>
      </c>
      <c r="FO27" s="93" t="s">
        <v>223</v>
      </c>
      <c r="FP27" s="30">
        <f t="shared" ref="FP27:FP36" si="11">SQRT(FP49^2+FR49^2)</f>
        <v>53.741687163562958</v>
      </c>
      <c r="FT27" s="29">
        <v>11</v>
      </c>
      <c r="FU27" s="27">
        <f t="shared" ref="FU27:FU86" si="12">2*PI()*FT27</f>
        <v>69.115038378975441</v>
      </c>
      <c r="FV27" s="30">
        <f>$AJ$30*(2*$AJ$30*$AJ$35+$AJ$35^2+($FU27*$AJ$37)^2)/((2*$AJ$30+$AJ$35)^2+($FU27*$AJ$37)^2)</f>
        <v>18.762868875874869</v>
      </c>
      <c r="FW27" s="30">
        <f t="shared" ref="FW27:FW86" si="13">2*$AJ$30^2*$FU27*$AJ$37/((2*$AJ$30+$AJ$35)^2+($FU27*$AJ$37)^2)</f>
        <v>55.709392318032847</v>
      </c>
      <c r="FX27" s="34">
        <f t="shared" ref="FX27:FX86" si="14">SQRT(FV27^2+FW27^2)</f>
        <v>58.784195502683978</v>
      </c>
      <c r="FY27" s="30">
        <f t="shared" ref="FY27:FY86" si="15">$AJ$30^2*(2*$AJ$30+$AJ$35)/((2*$AJ$30+$AJ$35)^2+($FU27*$AJ$37)^2)</f>
        <v>236.07311101660807</v>
      </c>
      <c r="FZ27" s="30">
        <f t="shared" ref="FZ27:FZ86" si="16">-($AJ$30^2*$FU27*$AJ$37)/((2*$AJ$30+$AJ$35)^2+($FU27*$AJ$37)^2)</f>
        <v>-27.854696159016424</v>
      </c>
      <c r="GA27" s="34">
        <f t="shared" ref="GA27:GA86" si="17">SQRT(FY27^2+FZ27^2)</f>
        <v>237.71074406339079</v>
      </c>
      <c r="GB27" s="34">
        <f t="shared" ref="GB27:GB86" si="18">FP$12*(2*FP$12*FP$17+FP$17^2+(FU27*FP$19)^2)/((2*FP$12+FP$17)^2+(FU27*FP$19)^2)</f>
        <v>2.4936070648963042</v>
      </c>
      <c r="GC27" s="34">
        <f t="shared" ref="GC27:GC86" si="19">2*FP$12^2*FU27*FP$19/((2*FP$12+FP$17)^2+(FU27*FP$19)^2)</f>
        <v>1.5421995664503561</v>
      </c>
      <c r="GD27" s="34">
        <f t="shared" ref="GD27:GD86" si="20">SQRT(GB27^2+GC27^2)</f>
        <v>2.9319712987784223</v>
      </c>
      <c r="GE27" s="55">
        <f t="shared" ref="GE27:GE86" si="21">FP$12^2*(2*FP$12+FP$17)/((2*FP$12+FP$17)^2+(FU27*FP$19)^2)</f>
        <v>298.75319646755185</v>
      </c>
      <c r="GF27" s="55">
        <f t="shared" ref="GF27:GF85" si="22">-(FP$12^2*FU27*FP$19)/((2*FP$12+FP$17)^2+(FU27*FP$19)^2)</f>
        <v>-0.77109978322517803</v>
      </c>
      <c r="GG27" s="34">
        <f t="shared" ref="GG27:GG86" si="23">SQRT(GE27^2+GF27^2)</f>
        <v>298.7541915931144</v>
      </c>
      <c r="GH27" s="30">
        <f t="shared" ref="GH27:GH86" si="24">$FY27+$AJ$32+$AJ$33/(1+($AJ$33*$FU27*$AP$39)^2)</f>
        <v>357.37706529748044</v>
      </c>
      <c r="GI27" s="30">
        <f t="shared" si="0"/>
        <v>-3058.2518428519297</v>
      </c>
      <c r="GJ27" s="34">
        <f t="shared" ref="GJ27:GJ86" si="25">SQRT(GH27^2+GI27^2)</f>
        <v>3079.0619839665233</v>
      </c>
      <c r="GK27" s="34">
        <f t="shared" ref="GK27:GK86" si="26">GE27</f>
        <v>298.75319646755185</v>
      </c>
      <c r="GL27" s="34">
        <f t="shared" ref="GL27:GL86" si="27">GF27-1/(FU27*FP$21*10^(-6))</f>
        <v>-115749.82062116165</v>
      </c>
      <c r="GM27" s="34">
        <f t="shared" ref="GM27:GM86" si="28">SQRT(GK27^2+GL27^2)</f>
        <v>115750.20616527427</v>
      </c>
      <c r="GN27" s="55">
        <f t="shared" si="1"/>
        <v>602.49360706489631</v>
      </c>
      <c r="GO27" s="55">
        <f t="shared" si="2"/>
        <v>1.5421995664503561</v>
      </c>
      <c r="GP27" s="34">
        <f t="shared" ref="GP27:GP86" si="29">SQRT(GN27^2+GO27^2)</f>
        <v>602.49558084152989</v>
      </c>
      <c r="GQ27" s="55">
        <f t="shared" ref="GQ27:GQ86" si="30">((GK27*GN27-GL27*GO27)*(GK27+GN27)+(GL27+GO27)*(GL27*GN27+GK27*GO27))/((GK27+GN27)^2+(GL27+GO27)^2)</f>
        <v>602.48524413254165</v>
      </c>
      <c r="GR27" s="55">
        <f t="shared" ref="GR27:GR86" si="31">((GL27*GN27+GK27*GO27)*(GK27+GN27)-(GL27+GO27)*(GK27*GN27-GL27*GO27))/((GK27+GN27)^2+(GL27+GO27)^2)</f>
        <v>-1.5938179714207836</v>
      </c>
      <c r="GS27" s="34">
        <f t="shared" ref="GS27:GS86" si="32">SQRT(GQ27^2+GR27^2)</f>
        <v>602.4873522765223</v>
      </c>
      <c r="GT27" s="56">
        <f t="shared" ref="GT27:GU86" si="33">FV27+GB27+GQ27</f>
        <v>623.74172007331288</v>
      </c>
      <c r="GU27" s="56">
        <f t="shared" si="33"/>
        <v>55.657773913062421</v>
      </c>
      <c r="GV27" s="34">
        <f t="shared" ref="GV27:GV86" si="34">SQRT(GT27^2+GU27^2)</f>
        <v>626.22002615452391</v>
      </c>
      <c r="GW27" s="30">
        <f t="shared" ref="GW27:GW86" si="35">(($GH27*$GT27-$GI27*$GU27)*($GH27+$GT27)+($GI27+$GU27)*($GI27*$GT27+$GH27*$GU27))/(($GH27+$GT27)^2+($GI27+$GU27)^2)</f>
        <v>606.68527139088235</v>
      </c>
      <c r="GX27" s="30">
        <f t="shared" si="3"/>
        <v>-67.309745129395722</v>
      </c>
      <c r="GY27" s="34">
        <f t="shared" ref="GY27:GY86" si="36">SQRT(GW27^2+GX27^2)</f>
        <v>610.40774922342916</v>
      </c>
      <c r="GZ27" s="34">
        <f t="shared" si="4"/>
        <v>625.44814026675726</v>
      </c>
      <c r="HA27" s="34">
        <f t="shared" si="4"/>
        <v>-11.600352811362875</v>
      </c>
      <c r="HB27" s="34">
        <f t="shared" ref="HB27:HB86" si="37">SQRT(GZ27^2+HA27^2)</f>
        <v>625.55570842930797</v>
      </c>
      <c r="HC27" s="33">
        <f t="shared" si="5"/>
        <v>0.97166269442987085</v>
      </c>
      <c r="HD27" s="33">
        <f t="shared" si="6"/>
        <v>-8.9596741044699821E-2</v>
      </c>
      <c r="HE27" s="33">
        <f t="shared" ref="HE27:HE68" si="38">SQRT(HC27^2+HD27^2)</f>
        <v>0.97578479581952271</v>
      </c>
      <c r="HF27" s="33">
        <f t="shared" ref="HF27:HF86" si="39">$HC27*(($GT27*($GT27-$FV27)+$GU27*($GU27-$FW27))/($GT27^2+$GU27^2))-($HD27)*(($GT27*($GU27-$FW27)-$GU27*($GT27-$FV27))/($GT27^2+$GU27^2))</f>
        <v>0.9272816096554406</v>
      </c>
      <c r="HG27" s="33">
        <f t="shared" si="7"/>
        <v>-0.16972524992910948</v>
      </c>
      <c r="HH27" s="33">
        <f t="shared" ref="HH27:HH86" si="40">SQRT(HF27^2+HG27^2)</f>
        <v>0.94268650359951767</v>
      </c>
      <c r="HI27" s="30">
        <f>(HF27*(GQ27*(GB27+GQ27)+GR27*(GC27+GR27))-HG27*(GR27*(GB27+GQ27)-GQ27*(GC27+GR27)))/((GB27+GQ27)^2+(GC27+GR27)^2)</f>
        <v>0.92302701422453726</v>
      </c>
      <c r="HJ27" s="30">
        <f t="shared" ref="HJ27:HJ86" si="41">(HG27*(GQ27*(GB27+GQ27)+GR27*(GC27+GR27))+HF27*(GR27*(GB27+GQ27)-GQ27*(GC27+GR27)))/((GB27+GQ27)^2+(GC27+GR27)^2)</f>
        <v>-0.17138984502612845</v>
      </c>
      <c r="HK27" s="33">
        <f t="shared" ref="HK27:HK86" si="42">SQRT(HI27^2+HJ27^2)</f>
        <v>0.93880421173232087</v>
      </c>
      <c r="HL27" s="61">
        <f t="shared" ref="HL27:HL86" si="43">$FP$15*(HI27*($FP$15+GB27)+GC27*HJ27)/(($FP$15+GB27)^2+GC27^2)</f>
        <v>0.91876387032706597</v>
      </c>
      <c r="HM27" s="61">
        <f t="shared" ref="HM27:HM86" si="44">$FP$15*(HJ27*($FP$15+GB27)-GC27*HI27)/(($FP$15+GB27)^2+GC27^2)</f>
        <v>-0.17303224969644626</v>
      </c>
      <c r="HN27" s="33">
        <f t="shared" ref="HN27:HN86" si="45">SQRT(HL27^2+HM27^2)</f>
        <v>0.93491561589984318</v>
      </c>
      <c r="HO27" s="30">
        <f t="shared" ref="HO27:HO86" si="46">20*LOG(HH27)</f>
        <v>-0.51265421297456171</v>
      </c>
      <c r="HP27" s="30">
        <f t="shared" ref="HP27:HP86" si="47">HO27-HS27</f>
        <v>-0.30938119704274858</v>
      </c>
      <c r="HQ27" s="29">
        <v>11</v>
      </c>
      <c r="HR27" s="30">
        <v>69.115038378975441</v>
      </c>
      <c r="HS27" s="30">
        <f t="shared" ref="HS27:HS86" si="48">20*LOG(SQRT(((1+($FP$8*10^(-6)*HR27)^2)/((1+($FP$7*10^(-6)*HR27)^2)*(1+($FP$9*10^(-6)*HR27)^2)))))</f>
        <v>-0.20327301593181313</v>
      </c>
      <c r="HT27" s="30">
        <f t="shared" ref="HT27:HT86" si="49">20*LOG(HN27)</f>
        <v>-0.58455172271831823</v>
      </c>
      <c r="HU27" s="30">
        <f t="shared" ref="HU27:HU86" si="50">HT27-HS27</f>
        <v>-0.38127870678650511</v>
      </c>
      <c r="HV27" s="30">
        <f t="shared" si="8"/>
        <v>19.353571170602375</v>
      </c>
      <c r="HW27" s="30">
        <f t="shared" si="9"/>
        <v>19.709364349912601</v>
      </c>
      <c r="HX27" s="73">
        <f t="shared" si="10"/>
        <v>25.55570842930797</v>
      </c>
      <c r="HY27" s="30">
        <f t="shared" ref="HY27:HY86" si="51">HO27-HY$23</f>
        <v>19.425468680346132</v>
      </c>
      <c r="HZ27" s="74">
        <f t="shared" ref="HZ27:HZ86" si="52">HV27-HW27</f>
        <v>-0.35579317931022558</v>
      </c>
    </row>
    <row r="28" spans="1:244" ht="15" customHeight="1">
      <c r="A28" s="79"/>
      <c r="B28" s="79"/>
      <c r="C28" s="79"/>
      <c r="D28" s="79"/>
      <c r="E28" s="79"/>
      <c r="F28" s="79"/>
      <c r="G28" s="79"/>
      <c r="H28" s="79"/>
      <c r="I28" s="79"/>
      <c r="J28" s="79"/>
      <c r="K28" s="79"/>
      <c r="L28" s="79"/>
      <c r="M28" s="79"/>
      <c r="N28" s="79"/>
      <c r="O28" s="79"/>
      <c r="P28" s="79"/>
      <c r="Q28" s="79"/>
      <c r="R28" s="79"/>
      <c r="S28" s="79"/>
      <c r="T28" s="79"/>
      <c r="U28" s="79"/>
      <c r="V28" s="79"/>
      <c r="W28" s="79"/>
      <c r="X28" s="79"/>
      <c r="Y28" s="79"/>
      <c r="Z28" s="79"/>
      <c r="AA28" s="79"/>
      <c r="AB28" s="79"/>
      <c r="AC28" s="79"/>
      <c r="AD28" s="79"/>
      <c r="AE28" s="79"/>
      <c r="AF28" s="79"/>
      <c r="AG28" s="79"/>
      <c r="AH28" s="79"/>
      <c r="AI28" s="79"/>
      <c r="AJ28" s="79"/>
      <c r="AK28" s="79"/>
      <c r="AL28" s="79"/>
      <c r="AM28" s="79"/>
      <c r="AN28" s="79"/>
      <c r="AO28" s="79"/>
      <c r="AP28" s="79"/>
      <c r="AQ28" s="79"/>
      <c r="AR28" s="79"/>
      <c r="AS28" s="79"/>
      <c r="AT28" s="79"/>
      <c r="AU28" s="79"/>
      <c r="AV28" s="79"/>
      <c r="AW28" s="79"/>
      <c r="AX28" s="79"/>
      <c r="AY28" s="79"/>
      <c r="AZ28" s="79"/>
      <c r="BA28" s="79"/>
      <c r="BB28" s="79"/>
      <c r="BC28" s="79"/>
      <c r="BD28" s="79"/>
      <c r="BE28" s="79"/>
      <c r="BF28" s="79"/>
      <c r="BG28" s="79"/>
      <c r="BH28" s="79"/>
      <c r="BI28" s="79"/>
      <c r="BJ28" s="79"/>
      <c r="BK28" s="79"/>
      <c r="BL28" s="79"/>
      <c r="BM28" s="79"/>
      <c r="BN28" s="79"/>
      <c r="BO28" s="79"/>
      <c r="BP28" s="79"/>
      <c r="BQ28" s="79"/>
      <c r="BR28" s="79"/>
      <c r="BS28" s="79"/>
      <c r="BT28" s="79"/>
      <c r="BU28" s="79"/>
      <c r="BV28" s="79"/>
      <c r="BW28" s="79"/>
      <c r="BX28" s="79"/>
      <c r="BY28" s="79"/>
      <c r="BZ28" s="79"/>
      <c r="CA28" s="79"/>
      <c r="CB28" s="79"/>
      <c r="EL28" s="30" t="s">
        <v>185</v>
      </c>
      <c r="FO28" s="93" t="s">
        <v>224</v>
      </c>
      <c r="FP28" s="30">
        <f t="shared" si="11"/>
        <v>237.99448959204315</v>
      </c>
      <c r="FT28" s="29">
        <v>12</v>
      </c>
      <c r="FU28" s="27">
        <f t="shared" si="12"/>
        <v>75.398223686155035</v>
      </c>
      <c r="FV28" s="30">
        <f t="shared" ref="FV28:FV86" si="53">$AJ$30*(2*$AJ$30*$AJ$35+$AJ$35^2+($FU28*$AJ$37)^2)/((2*$AJ$30+$AJ$35)^2+($FU28*$AJ$37)^2)</f>
        <v>19.991965929980783</v>
      </c>
      <c r="FW28" s="30">
        <f t="shared" si="13"/>
        <v>60.615675184307371</v>
      </c>
      <c r="FX28" s="34">
        <f t="shared" si="14"/>
        <v>63.827414014629859</v>
      </c>
      <c r="FY28" s="30">
        <f t="shared" si="15"/>
        <v>235.45856248955511</v>
      </c>
      <c r="FZ28" s="30">
        <f>-($AJ$30^2*$FU28*$AJ$37)/((2*$AJ$30+$AJ$35)^2+($FU28*$AJ$37)^2)</f>
        <v>-30.307837592153685</v>
      </c>
      <c r="GA28" s="34">
        <f t="shared" si="17"/>
        <v>237.40113662145785</v>
      </c>
      <c r="GB28" s="34">
        <f t="shared" si="18"/>
        <v>2.4943636845525128</v>
      </c>
      <c r="GC28" s="34">
        <f t="shared" si="19"/>
        <v>1.6823973966218035</v>
      </c>
      <c r="GD28" s="34">
        <f t="shared" si="20"/>
        <v>3.0087058997140628</v>
      </c>
      <c r="GE28" s="55">
        <f t="shared" si="21"/>
        <v>298.75281815772377</v>
      </c>
      <c r="GF28" s="55">
        <f t="shared" si="22"/>
        <v>-0.84119869831090177</v>
      </c>
      <c r="GG28" s="34">
        <f t="shared" si="23"/>
        <v>298.75400243751045</v>
      </c>
      <c r="GH28" s="30">
        <f t="shared" si="24"/>
        <v>356.74784898862441</v>
      </c>
      <c r="GI28" s="30">
        <f t="shared" si="0"/>
        <v>-2808.171889134775</v>
      </c>
      <c r="GJ28" s="34">
        <f t="shared" si="25"/>
        <v>2830.7416672463742</v>
      </c>
      <c r="GK28" s="34">
        <f t="shared" si="26"/>
        <v>298.75281815772377</v>
      </c>
      <c r="GL28" s="34">
        <f t="shared" si="27"/>
        <v>-106104.1365932952</v>
      </c>
      <c r="GM28" s="34">
        <f t="shared" si="28"/>
        <v>106104.55718514169</v>
      </c>
      <c r="GN28" s="55">
        <f t="shared" si="1"/>
        <v>602.49436368455247</v>
      </c>
      <c r="GO28" s="55">
        <f t="shared" si="2"/>
        <v>1.6823973966218035</v>
      </c>
      <c r="GP28" s="34">
        <f t="shared" si="29"/>
        <v>602.49671263223831</v>
      </c>
      <c r="GQ28" s="55">
        <f t="shared" si="30"/>
        <v>602.48441111999591</v>
      </c>
      <c r="GR28" s="55">
        <f t="shared" si="31"/>
        <v>-1.7387078062767569</v>
      </c>
      <c r="GS28" s="34">
        <f t="shared" si="32"/>
        <v>602.48691998037918</v>
      </c>
      <c r="GT28" s="56">
        <f t="shared" si="33"/>
        <v>624.97074073452916</v>
      </c>
      <c r="GU28" s="56">
        <f t="shared" si="33"/>
        <v>60.559364774652416</v>
      </c>
      <c r="GV28" s="34">
        <f t="shared" si="34"/>
        <v>627.89797215485214</v>
      </c>
      <c r="GW28" s="30">
        <f t="shared" si="35"/>
        <v>604.78253064225157</v>
      </c>
      <c r="GX28" s="30">
        <f t="shared" si="3"/>
        <v>-73.048211154207365</v>
      </c>
      <c r="GY28" s="34">
        <f t="shared" si="36"/>
        <v>609.17809425723408</v>
      </c>
      <c r="GZ28" s="34">
        <f t="shared" si="4"/>
        <v>624.77449657223235</v>
      </c>
      <c r="HA28" s="34">
        <f t="shared" si="4"/>
        <v>-12.432535969899995</v>
      </c>
      <c r="HB28" s="34">
        <f t="shared" si="37"/>
        <v>624.89818332087441</v>
      </c>
      <c r="HC28" s="33">
        <f t="shared" si="5"/>
        <v>0.9699438365460975</v>
      </c>
      <c r="HD28" s="33">
        <f t="shared" si="6"/>
        <v>-9.7618180402973626E-2</v>
      </c>
      <c r="HE28" s="33">
        <f t="shared" si="38"/>
        <v>0.97484375937836842</v>
      </c>
      <c r="HF28" s="33">
        <f t="shared" si="39"/>
        <v>0.92109418680285371</v>
      </c>
      <c r="HG28" s="33">
        <f t="shared" si="7"/>
        <v>-0.1838364846152496</v>
      </c>
      <c r="HH28" s="33">
        <f t="shared" si="40"/>
        <v>0.93926053576082036</v>
      </c>
      <c r="HI28" s="30">
        <f t="shared" ref="HI28:HI86" si="54">(HF28*(GQ28*(GB28+GQ28)+GR28*(GC28+GR28))-HG28*(GR28*(GB28+GQ28)-GQ28*(GC28+GR28)))/((GB28+GQ28)^2+(GC28+GR28)^2)</f>
        <v>0.91678539376456192</v>
      </c>
      <c r="HJ28" s="30">
        <f t="shared" si="41"/>
        <v>-0.18564040582067404</v>
      </c>
      <c r="HK28" s="33">
        <f t="shared" si="42"/>
        <v>0.9353917994580172</v>
      </c>
      <c r="HL28" s="61">
        <f t="shared" si="43"/>
        <v>0.91246649729404583</v>
      </c>
      <c r="HM28" s="61">
        <f t="shared" si="44"/>
        <v>-0.18741980267068134</v>
      </c>
      <c r="HN28" s="33">
        <f t="shared" si="45"/>
        <v>0.93151558823091207</v>
      </c>
      <c r="HO28" s="30">
        <f t="shared" si="46"/>
        <v>-0.54427849442385712</v>
      </c>
      <c r="HP28" s="30">
        <f t="shared" si="47"/>
        <v>-0.30344055162170791</v>
      </c>
      <c r="HQ28" s="29">
        <v>12</v>
      </c>
      <c r="HR28" s="30">
        <v>75.398223686155035</v>
      </c>
      <c r="HS28" s="30">
        <f t="shared" si="48"/>
        <v>-0.24083794280214921</v>
      </c>
      <c r="HT28" s="30">
        <f t="shared" si="49"/>
        <v>-0.61619746213903503</v>
      </c>
      <c r="HU28" s="30">
        <f t="shared" si="50"/>
        <v>-0.37535951933688583</v>
      </c>
      <c r="HV28" s="30">
        <f t="shared" si="8"/>
        <v>19.321925431181658</v>
      </c>
      <c r="HW28" s="30">
        <f t="shared" si="9"/>
        <v>19.671799423042266</v>
      </c>
      <c r="HX28" s="73">
        <f t="shared" si="10"/>
        <v>24.898183320874409</v>
      </c>
      <c r="HY28" s="30">
        <f t="shared" si="51"/>
        <v>19.393844398896835</v>
      </c>
      <c r="HZ28" s="74">
        <f t="shared" si="52"/>
        <v>-0.34987399186060841</v>
      </c>
    </row>
    <row r="29" spans="1:244" ht="15" customHeight="1" thickBot="1">
      <c r="A29" s="79"/>
      <c r="B29" s="79"/>
      <c r="C29" s="79"/>
      <c r="D29" s="79"/>
      <c r="E29" s="79"/>
      <c r="F29" s="79"/>
      <c r="G29" s="79"/>
      <c r="H29" s="79"/>
      <c r="I29" s="79"/>
      <c r="J29" s="79"/>
      <c r="K29" s="79"/>
      <c r="L29" s="79"/>
      <c r="M29" s="79"/>
      <c r="N29" s="79"/>
      <c r="O29" s="79"/>
      <c r="P29" s="79"/>
      <c r="Q29" s="79"/>
      <c r="R29" s="79"/>
      <c r="S29" s="79"/>
      <c r="T29" s="79"/>
      <c r="U29" s="79"/>
      <c r="V29" s="79"/>
      <c r="W29" s="79"/>
      <c r="X29" s="79"/>
      <c r="Y29" s="79"/>
      <c r="Z29" s="79"/>
      <c r="AA29" s="79"/>
      <c r="AB29" s="79"/>
      <c r="AC29" s="79"/>
      <c r="AD29" s="79"/>
      <c r="AE29" s="79"/>
      <c r="AF29" s="79"/>
      <c r="AG29" s="79"/>
      <c r="AH29" s="79"/>
      <c r="AI29" s="79"/>
      <c r="AJ29" s="79"/>
      <c r="AK29" s="79"/>
      <c r="AL29" s="79"/>
      <c r="AM29" s="79"/>
      <c r="AN29" s="79"/>
      <c r="AO29" s="79"/>
      <c r="AP29" s="79"/>
      <c r="AQ29" s="79"/>
      <c r="AR29" s="79"/>
      <c r="AS29" s="79"/>
      <c r="AT29" s="79"/>
      <c r="AU29" s="79"/>
      <c r="AV29" s="79"/>
      <c r="AW29" s="79"/>
      <c r="AX29" s="79"/>
      <c r="AY29" s="79"/>
      <c r="AZ29" s="79"/>
      <c r="BA29" s="79"/>
      <c r="BB29" s="79"/>
      <c r="BC29" s="79"/>
      <c r="BD29" s="79"/>
      <c r="BE29" s="79"/>
      <c r="BF29" s="79"/>
      <c r="BG29" s="79"/>
      <c r="BH29" s="79"/>
      <c r="BI29" s="79"/>
      <c r="BJ29" s="79"/>
      <c r="BK29" s="79"/>
      <c r="BL29" s="79"/>
      <c r="BM29" s="79"/>
      <c r="BN29" s="79"/>
      <c r="BO29" s="79"/>
      <c r="BP29" s="79"/>
      <c r="BQ29" s="79"/>
      <c r="BR29" s="79"/>
      <c r="BS29" s="79"/>
      <c r="BT29" s="79"/>
      <c r="BU29" s="79"/>
      <c r="BV29" s="79"/>
      <c r="BW29" s="79"/>
      <c r="BX29" s="79"/>
      <c r="BY29" s="79"/>
      <c r="BZ29" s="79"/>
      <c r="CA29" s="79"/>
      <c r="CB29" s="79"/>
      <c r="EL29" s="30" t="s">
        <v>136</v>
      </c>
      <c r="EN29" s="108">
        <f>DH6*EN24-DN6*ET24</f>
        <v>0.92872972848931801</v>
      </c>
      <c r="EO29" s="108"/>
      <c r="EP29" s="108"/>
      <c r="EQ29" s="108"/>
      <c r="ER29" s="3" t="s">
        <v>115</v>
      </c>
      <c r="ES29" s="108">
        <f>DN6*EN24+DH6*ET24</f>
        <v>-0.15732582721005139</v>
      </c>
      <c r="ET29" s="108"/>
      <c r="EU29" s="108"/>
      <c r="EV29" s="108"/>
      <c r="EW29" s="108"/>
      <c r="EX29" s="30" t="s">
        <v>137</v>
      </c>
      <c r="FO29" s="93" t="s">
        <v>225</v>
      </c>
      <c r="FP29" s="30">
        <f>SQRT(FP51^2+FR51^2)</f>
        <v>2.8601116766053107</v>
      </c>
      <c r="FT29" s="29">
        <v>13</v>
      </c>
      <c r="FU29" s="27">
        <f t="shared" si="12"/>
        <v>81.681408993334628</v>
      </c>
      <c r="FV29" s="30">
        <f t="shared" si="53"/>
        <v>21.320703393823983</v>
      </c>
      <c r="FW29" s="30">
        <f t="shared" si="13"/>
        <v>65.481695814973094</v>
      </c>
      <c r="FX29" s="34">
        <f t="shared" si="14"/>
        <v>68.865266136217627</v>
      </c>
      <c r="FY29" s="30">
        <f t="shared" si="15"/>
        <v>234.79419375763351</v>
      </c>
      <c r="FZ29" s="30">
        <f t="shared" si="16"/>
        <v>-32.740847907486547</v>
      </c>
      <c r="GA29" s="34">
        <f t="shared" si="17"/>
        <v>237.06597508710166</v>
      </c>
      <c r="GB29" s="34">
        <f t="shared" si="18"/>
        <v>2.495186095048914</v>
      </c>
      <c r="GC29" s="34">
        <f t="shared" si="19"/>
        <v>1.822594671039458</v>
      </c>
      <c r="GD29" s="34">
        <f t="shared" si="20"/>
        <v>3.0899522623864075</v>
      </c>
      <c r="GE29" s="55">
        <f t="shared" si="21"/>
        <v>298.75240695247555</v>
      </c>
      <c r="GF29" s="55">
        <f t="shared" si="22"/>
        <v>-0.91129733551972902</v>
      </c>
      <c r="GG29" s="34">
        <f t="shared" si="23"/>
        <v>298.75379683400058</v>
      </c>
      <c r="GH29" s="30">
        <f t="shared" si="24"/>
        <v>356.07206527343396</v>
      </c>
      <c r="GI29" s="30">
        <f t="shared" si="0"/>
        <v>-2596.9230496241457</v>
      </c>
      <c r="GJ29" s="34">
        <f t="shared" si="25"/>
        <v>2621.2204488247953</v>
      </c>
      <c r="GK29" s="34">
        <f t="shared" si="26"/>
        <v>298.75240695247555</v>
      </c>
      <c r="GL29" s="34">
        <f t="shared" si="27"/>
        <v>-97942.414738501888</v>
      </c>
      <c r="GM29" s="34">
        <f t="shared" si="28"/>
        <v>97942.870377630708</v>
      </c>
      <c r="GN29" s="55">
        <f t="shared" si="1"/>
        <v>602.49518609504889</v>
      </c>
      <c r="GO29" s="55">
        <f t="shared" si="2"/>
        <v>1.822594671039458</v>
      </c>
      <c r="GP29" s="34">
        <f t="shared" si="29"/>
        <v>602.49794283386768</v>
      </c>
      <c r="GQ29" s="55">
        <f t="shared" si="30"/>
        <v>602.48350567523505</v>
      </c>
      <c r="GR29" s="55">
        <f t="shared" si="31"/>
        <v>-1.8835969347154378</v>
      </c>
      <c r="GS29" s="34">
        <f t="shared" si="32"/>
        <v>602.48645009504855</v>
      </c>
      <c r="GT29" s="56">
        <f t="shared" si="33"/>
        <v>626.29939516410798</v>
      </c>
      <c r="GU29" s="56">
        <f t="shared" si="33"/>
        <v>65.420693551297106</v>
      </c>
      <c r="GV29" s="34">
        <f t="shared" si="34"/>
        <v>629.70691557871601</v>
      </c>
      <c r="GW29" s="30">
        <f t="shared" si="35"/>
        <v>602.74421152135039</v>
      </c>
      <c r="GX29" s="30">
        <f t="shared" si="3"/>
        <v>-78.695753430072273</v>
      </c>
      <c r="GY29" s="34">
        <f t="shared" si="36"/>
        <v>607.85985731122366</v>
      </c>
      <c r="GZ29" s="34">
        <f t="shared" si="4"/>
        <v>624.06491491517443</v>
      </c>
      <c r="HA29" s="34">
        <f t="shared" si="4"/>
        <v>-13.214057615099179</v>
      </c>
      <c r="HB29" s="34">
        <f t="shared" si="37"/>
        <v>624.20479759990553</v>
      </c>
      <c r="HC29" s="33">
        <f t="shared" si="5"/>
        <v>0.96807183218410053</v>
      </c>
      <c r="HD29" s="33">
        <f t="shared" si="6"/>
        <v>-0.10560375193179199</v>
      </c>
      <c r="HE29" s="33">
        <f t="shared" si="38"/>
        <v>0.9738147794577533</v>
      </c>
      <c r="HF29" s="33">
        <f t="shared" si="39"/>
        <v>0.91446308932039044</v>
      </c>
      <c r="HG29" s="33">
        <f t="shared" si="7"/>
        <v>-0.19762414709160514</v>
      </c>
      <c r="HH29" s="33">
        <f t="shared" si="40"/>
        <v>0.9355736450130886</v>
      </c>
      <c r="HI29" s="30">
        <f t="shared" si="54"/>
        <v>0.91009628107701857</v>
      </c>
      <c r="HJ29" s="30">
        <f t="shared" si="41"/>
        <v>-0.19956446818182685</v>
      </c>
      <c r="HK29" s="33">
        <f t="shared" si="42"/>
        <v>0.93171949522960762</v>
      </c>
      <c r="HL29" s="61">
        <f t="shared" si="43"/>
        <v>0.90571770327307433</v>
      </c>
      <c r="HM29" s="61">
        <f t="shared" si="44"/>
        <v>-0.20147785404777901</v>
      </c>
      <c r="HN29" s="33">
        <f t="shared" si="45"/>
        <v>0.92785660729120789</v>
      </c>
      <c r="HO29" s="30">
        <f t="shared" si="46"/>
        <v>-0.57844041418369474</v>
      </c>
      <c r="HP29" s="30">
        <f t="shared" si="47"/>
        <v>-0.29714351702980052</v>
      </c>
      <c r="HQ29" s="29">
        <v>13</v>
      </c>
      <c r="HR29" s="30">
        <v>81.681408993334628</v>
      </c>
      <c r="HS29" s="30">
        <f t="shared" si="48"/>
        <v>-0.28129689715389422</v>
      </c>
      <c r="HT29" s="30">
        <f t="shared" si="49"/>
        <v>-0.65038270566473144</v>
      </c>
      <c r="HU29" s="30">
        <f t="shared" si="50"/>
        <v>-0.36908580851083722</v>
      </c>
      <c r="HV29" s="30">
        <f t="shared" si="8"/>
        <v>19.28774018765596</v>
      </c>
      <c r="HW29" s="30">
        <f t="shared" si="9"/>
        <v>19.631340468690521</v>
      </c>
      <c r="HX29" s="73">
        <f t="shared" si="10"/>
        <v>24.204797599905532</v>
      </c>
      <c r="HY29" s="30">
        <f t="shared" si="51"/>
        <v>19.359682479136996</v>
      </c>
      <c r="HZ29" s="74">
        <f t="shared" si="52"/>
        <v>-0.34360028103456131</v>
      </c>
    </row>
    <row r="30" spans="1:244" ht="15" customHeight="1">
      <c r="AI30" s="93" t="s">
        <v>38</v>
      </c>
      <c r="AJ30" s="136">
        <f>FP11</f>
        <v>490.90909090909093</v>
      </c>
      <c r="AK30" s="136"/>
      <c r="AL30" s="136"/>
      <c r="AM30" s="136"/>
      <c r="AN30" s="30" t="s">
        <v>43</v>
      </c>
      <c r="AW30" s="137" t="s">
        <v>13</v>
      </c>
      <c r="AX30" s="137"/>
      <c r="AY30" s="138" t="s">
        <v>20</v>
      </c>
      <c r="AZ30" s="138"/>
      <c r="BA30" s="138"/>
      <c r="BB30" s="138"/>
      <c r="BC30" s="138"/>
      <c r="BD30" s="138"/>
      <c r="BE30" s="139" t="s">
        <v>33</v>
      </c>
      <c r="BF30" s="138" t="s">
        <v>35</v>
      </c>
      <c r="BG30" s="138"/>
      <c r="BH30" s="138"/>
      <c r="BI30" s="138"/>
      <c r="BJ30" s="138"/>
      <c r="BK30" s="138"/>
      <c r="BL30" s="138"/>
      <c r="BM30" s="138"/>
      <c r="BN30" s="138"/>
      <c r="BO30" s="138"/>
      <c r="BP30" s="138"/>
      <c r="BQ30" s="138"/>
      <c r="BR30" s="139" t="s">
        <v>33</v>
      </c>
      <c r="BS30" s="138" t="s">
        <v>93</v>
      </c>
      <c r="BT30" s="138"/>
      <c r="BU30" s="138"/>
      <c r="BV30" s="138"/>
      <c r="BW30" s="138"/>
      <c r="BX30" s="138"/>
      <c r="BY30" s="138"/>
      <c r="BZ30" s="138"/>
      <c r="CA30" s="138"/>
      <c r="CB30" s="138"/>
      <c r="CC30" s="138"/>
      <c r="CD30" s="140" t="s">
        <v>91</v>
      </c>
      <c r="CE30" s="157" t="s">
        <v>94</v>
      </c>
      <c r="CF30" s="157"/>
      <c r="CG30" s="157"/>
      <c r="CH30" s="157"/>
      <c r="CI30" s="157"/>
      <c r="CJ30" s="157"/>
      <c r="CK30" s="157"/>
      <c r="CL30" s="157"/>
      <c r="CM30" s="139" t="s">
        <v>33</v>
      </c>
      <c r="CN30" s="157">
        <f>AJ30*(2*AJ30*AJ35+AJ35^2+(AJ43*AJ37)^2)</f>
        <v>18082012.922457658</v>
      </c>
      <c r="CO30" s="157"/>
      <c r="CP30" s="157"/>
      <c r="CQ30" s="157"/>
      <c r="CR30" s="140" t="s">
        <v>91</v>
      </c>
      <c r="CS30" s="138">
        <f>2*AJ30^2*AJ43*AJ37</f>
        <v>52052598.157364614</v>
      </c>
      <c r="CT30" s="138"/>
      <c r="CU30" s="138"/>
      <c r="CV30" s="138"/>
      <c r="CW30" s="139" t="s">
        <v>33</v>
      </c>
      <c r="CX30" s="145">
        <f>CN30/CN31</f>
        <v>17.635033137809874</v>
      </c>
      <c r="CY30" s="146"/>
      <c r="CZ30" s="146"/>
      <c r="DA30" s="147"/>
      <c r="DB30" s="115" t="s">
        <v>91</v>
      </c>
      <c r="DC30" s="151">
        <f>CS30/CS31</f>
        <v>50.765879736439267</v>
      </c>
      <c r="DD30" s="152"/>
      <c r="DE30" s="152"/>
      <c r="DF30" s="153"/>
      <c r="DG30" s="108" t="s">
        <v>33</v>
      </c>
      <c r="DH30" s="108" t="s">
        <v>95</v>
      </c>
      <c r="DI30" s="108"/>
      <c r="DJ30" s="115" t="s">
        <v>96</v>
      </c>
      <c r="DK30" s="108" t="s">
        <v>97</v>
      </c>
      <c r="DL30" s="108"/>
      <c r="FO30" s="93" t="s">
        <v>226</v>
      </c>
      <c r="FP30" s="30">
        <f t="shared" si="11"/>
        <v>298.75436430071881</v>
      </c>
      <c r="FT30" s="29">
        <v>15</v>
      </c>
      <c r="FU30" s="27">
        <f t="shared" si="12"/>
        <v>94.247779607693786</v>
      </c>
      <c r="FV30" s="30">
        <f t="shared" si="53"/>
        <v>24.270036311961764</v>
      </c>
      <c r="FW30" s="30">
        <f t="shared" si="13"/>
        <v>75.081261280916991</v>
      </c>
      <c r="FX30" s="34">
        <f t="shared" si="14"/>
        <v>78.906466516485622</v>
      </c>
      <c r="FY30" s="30">
        <f t="shared" si="15"/>
        <v>233.31952729856459</v>
      </c>
      <c r="FZ30" s="30">
        <f t="shared" si="16"/>
        <v>-37.540630640458495</v>
      </c>
      <c r="GA30" s="34">
        <f t="shared" si="17"/>
        <v>236.32033507023672</v>
      </c>
      <c r="GB30" s="34">
        <f t="shared" si="18"/>
        <v>2.4970282863454858</v>
      </c>
      <c r="GC30" s="34">
        <f t="shared" si="19"/>
        <v>2.10298736737384</v>
      </c>
      <c r="GD30" s="34">
        <f t="shared" si="20"/>
        <v>3.2646142391013715</v>
      </c>
      <c r="GE30" s="55">
        <f t="shared" si="21"/>
        <v>298.75148585682723</v>
      </c>
      <c r="GF30" s="55">
        <f t="shared" si="22"/>
        <v>-1.05149368368692</v>
      </c>
      <c r="GG30" s="34">
        <f t="shared" si="23"/>
        <v>298.75333628367883</v>
      </c>
      <c r="GH30" s="30">
        <f t="shared" si="24"/>
        <v>354.58103429434635</v>
      </c>
      <c r="GI30" s="30">
        <f t="shared" si="0"/>
        <v>-2259.8318724918981</v>
      </c>
      <c r="GJ30" s="34">
        <f t="shared" si="25"/>
        <v>2287.4806669809227</v>
      </c>
      <c r="GK30" s="34">
        <f t="shared" si="26"/>
        <v>298.75148585682723</v>
      </c>
      <c r="GL30" s="34">
        <f t="shared" si="27"/>
        <v>-84883.687809361203</v>
      </c>
      <c r="GM30" s="34">
        <f t="shared" si="28"/>
        <v>84884.21354154963</v>
      </c>
      <c r="GN30" s="55">
        <f t="shared" si="1"/>
        <v>602.49702828634554</v>
      </c>
      <c r="GO30" s="55">
        <f t="shared" si="2"/>
        <v>2.10298736737384</v>
      </c>
      <c r="GP30" s="34">
        <f t="shared" si="29"/>
        <v>602.50069846411373</v>
      </c>
      <c r="GQ30" s="55">
        <f t="shared" si="30"/>
        <v>602.48147749280088</v>
      </c>
      <c r="GR30" s="55">
        <f t="shared" si="31"/>
        <v>-2.1733728368995915</v>
      </c>
      <c r="GS30" s="34">
        <f t="shared" si="32"/>
        <v>602.48539755864329</v>
      </c>
      <c r="GT30" s="56">
        <f t="shared" si="33"/>
        <v>629.24854209110811</v>
      </c>
      <c r="GU30" s="56">
        <f t="shared" si="33"/>
        <v>75.010875811391244</v>
      </c>
      <c r="GV30" s="34">
        <f t="shared" si="34"/>
        <v>633.70368407780063</v>
      </c>
      <c r="GW30" s="30">
        <f t="shared" si="35"/>
        <v>598.28618862555436</v>
      </c>
      <c r="GX30" s="30">
        <f t="shared" si="3"/>
        <v>-89.700749391149273</v>
      </c>
      <c r="GY30" s="34">
        <f t="shared" si="36"/>
        <v>604.9732125817028</v>
      </c>
      <c r="GZ30" s="34">
        <f t="shared" si="4"/>
        <v>622.55622493751616</v>
      </c>
      <c r="HA30" s="34">
        <f t="shared" si="4"/>
        <v>-14.619488110232282</v>
      </c>
      <c r="HB30" s="34">
        <f t="shared" si="37"/>
        <v>622.72785600216764</v>
      </c>
      <c r="HC30" s="33">
        <f t="shared" si="5"/>
        <v>0.96386752312825141</v>
      </c>
      <c r="HD30" s="33">
        <f t="shared" si="6"/>
        <v>-0.1214500740146409</v>
      </c>
      <c r="HE30" s="33">
        <f t="shared" si="38"/>
        <v>0.97148892048213908</v>
      </c>
      <c r="HF30" s="33">
        <f t="shared" si="39"/>
        <v>0.89995685356930877</v>
      </c>
      <c r="HG30" s="33">
        <f t="shared" si="7"/>
        <v>-0.22415479562699678</v>
      </c>
      <c r="HH30" s="33">
        <f t="shared" si="40"/>
        <v>0.92745226868499864</v>
      </c>
      <c r="HI30" s="30">
        <f t="shared" si="54"/>
        <v>0.89546337605116133</v>
      </c>
      <c r="HJ30" s="30">
        <f t="shared" si="41"/>
        <v>-0.22635849921617651</v>
      </c>
      <c r="HK30" s="33">
        <f t="shared" si="42"/>
        <v>0.92363024420833217</v>
      </c>
      <c r="HL30" s="61">
        <f t="shared" si="43"/>
        <v>0.89095448493194085</v>
      </c>
      <c r="HM30" s="61">
        <f t="shared" si="44"/>
        <v>-0.2285301986435429</v>
      </c>
      <c r="HN30" s="33">
        <f t="shared" si="45"/>
        <v>0.91979668726974506</v>
      </c>
      <c r="HO30" s="30">
        <f t="shared" si="46"/>
        <v>-0.65416864191612512</v>
      </c>
      <c r="HP30" s="30">
        <f t="shared" si="47"/>
        <v>-0.28361559743391812</v>
      </c>
      <c r="HQ30" s="29">
        <v>15</v>
      </c>
      <c r="HR30" s="30">
        <v>94.247779607693786</v>
      </c>
      <c r="HS30" s="30">
        <f t="shared" si="48"/>
        <v>-0.37055304448220699</v>
      </c>
      <c r="HT30" s="30">
        <f t="shared" si="49"/>
        <v>-0.72616317819375653</v>
      </c>
      <c r="HU30" s="30">
        <f t="shared" si="50"/>
        <v>-0.35561013371154954</v>
      </c>
      <c r="HV30" s="30">
        <f t="shared" si="8"/>
        <v>19.211959715126934</v>
      </c>
      <c r="HW30" s="30">
        <f t="shared" si="9"/>
        <v>19.542084321362207</v>
      </c>
      <c r="HX30" s="73">
        <f t="shared" si="10"/>
        <v>22.727856002167641</v>
      </c>
      <c r="HY30" s="30">
        <f t="shared" si="51"/>
        <v>19.283954251404566</v>
      </c>
      <c r="HZ30" s="74">
        <f t="shared" si="52"/>
        <v>-0.33012460623527318</v>
      </c>
    </row>
    <row r="31" spans="1:244" ht="15" customHeight="1" thickBot="1">
      <c r="AI31" s="93" t="s">
        <v>39</v>
      </c>
      <c r="AJ31" s="136">
        <f t="shared" ref="AJ31:AJ38" si="55">FP12</f>
        <v>600</v>
      </c>
      <c r="AK31" s="136"/>
      <c r="AL31" s="136"/>
      <c r="AM31" s="136"/>
      <c r="AN31" s="30" t="s">
        <v>43</v>
      </c>
      <c r="AW31" s="137"/>
      <c r="AX31" s="137"/>
      <c r="AY31" s="139" t="s">
        <v>14</v>
      </c>
      <c r="AZ31" s="139"/>
      <c r="BA31" s="139"/>
      <c r="BB31" s="139"/>
      <c r="BC31" s="139"/>
      <c r="BD31" s="139"/>
      <c r="BE31" s="139"/>
      <c r="BF31" s="139" t="s">
        <v>34</v>
      </c>
      <c r="BG31" s="139"/>
      <c r="BH31" s="139"/>
      <c r="BI31" s="139"/>
      <c r="BJ31" s="139"/>
      <c r="BK31" s="139"/>
      <c r="BL31" s="139"/>
      <c r="BM31" s="139"/>
      <c r="BN31" s="139"/>
      <c r="BO31" s="139"/>
      <c r="BP31" s="139"/>
      <c r="BQ31" s="139"/>
      <c r="BR31" s="139"/>
      <c r="BS31" s="143" t="s">
        <v>34</v>
      </c>
      <c r="BT31" s="143"/>
      <c r="BU31" s="143"/>
      <c r="BV31" s="143"/>
      <c r="BW31" s="143"/>
      <c r="BX31" s="143"/>
      <c r="BY31" s="143"/>
      <c r="BZ31" s="143"/>
      <c r="CA31" s="143"/>
      <c r="CB31" s="143"/>
      <c r="CC31" s="143"/>
      <c r="CD31" s="139"/>
      <c r="CE31" s="143" t="s">
        <v>34</v>
      </c>
      <c r="CF31" s="143"/>
      <c r="CG31" s="143"/>
      <c r="CH31" s="143"/>
      <c r="CI31" s="143"/>
      <c r="CJ31" s="143"/>
      <c r="CK31" s="143"/>
      <c r="CL31" s="143"/>
      <c r="CM31" s="139"/>
      <c r="CN31" s="144">
        <f>(2*AJ30+AJ35)^2+(AJ43*AJ37)^2</f>
        <v>1025346.1267214435</v>
      </c>
      <c r="CO31" s="144"/>
      <c r="CP31" s="144"/>
      <c r="CQ31" s="144"/>
      <c r="CR31" s="139"/>
      <c r="CS31" s="139">
        <f>CN31</f>
        <v>1025346.1267214435</v>
      </c>
      <c r="CT31" s="139"/>
      <c r="CU31" s="139"/>
      <c r="CV31" s="139"/>
      <c r="CW31" s="139"/>
      <c r="CX31" s="148"/>
      <c r="CY31" s="149"/>
      <c r="CZ31" s="115"/>
      <c r="DA31" s="150"/>
      <c r="DB31" s="116"/>
      <c r="DC31" s="154"/>
      <c r="DD31" s="155"/>
      <c r="DE31" s="155"/>
      <c r="DF31" s="156"/>
      <c r="DG31" s="108"/>
      <c r="DH31" s="108"/>
      <c r="DI31" s="108"/>
      <c r="DJ31" s="116"/>
      <c r="DK31" s="108"/>
      <c r="DL31" s="108"/>
      <c r="FO31" s="93" t="s">
        <v>227</v>
      </c>
      <c r="FP31" s="30">
        <f t="shared" si="11"/>
        <v>3377.8404353025908</v>
      </c>
      <c r="FT31" s="29">
        <v>17</v>
      </c>
      <c r="FU31" s="27">
        <f t="shared" si="12"/>
        <v>106.81415022205297</v>
      </c>
      <c r="FV31" s="30">
        <f t="shared" si="53"/>
        <v>27.595661380223724</v>
      </c>
      <c r="FW31" s="30">
        <f t="shared" si="13"/>
        <v>84.485665076704819</v>
      </c>
      <c r="FX31" s="34">
        <f t="shared" si="14"/>
        <v>88.878277044872505</v>
      </c>
      <c r="FY31" s="30">
        <f t="shared" si="15"/>
        <v>231.65671476443364</v>
      </c>
      <c r="FZ31" s="30">
        <f t="shared" si="16"/>
        <v>-42.24283253835241</v>
      </c>
      <c r="GA31" s="34">
        <f t="shared" si="17"/>
        <v>235.47673005270278</v>
      </c>
      <c r="GB31" s="34">
        <f t="shared" si="18"/>
        <v>2.4991336339177774</v>
      </c>
      <c r="GC31" s="34">
        <f t="shared" si="19"/>
        <v>2.3833772849813339</v>
      </c>
      <c r="GD31" s="34">
        <f t="shared" si="20"/>
        <v>3.4534267333684774</v>
      </c>
      <c r="GE31" s="55">
        <f t="shared" si="21"/>
        <v>298.75043318304108</v>
      </c>
      <c r="GF31" s="55">
        <f t="shared" si="22"/>
        <v>-1.191688642490667</v>
      </c>
      <c r="GG31" s="34">
        <f t="shared" si="23"/>
        <v>298.752809943062</v>
      </c>
      <c r="GH31" s="30">
        <f t="shared" si="24"/>
        <v>352.90728511608711</v>
      </c>
      <c r="GI31" s="30">
        <f t="shared" si="0"/>
        <v>-2003.0880461511317</v>
      </c>
      <c r="GJ31" s="34">
        <f t="shared" si="25"/>
        <v>2033.9383649760791</v>
      </c>
      <c r="GK31" s="34">
        <f t="shared" si="26"/>
        <v>298.75043318304108</v>
      </c>
      <c r="GL31" s="34">
        <f t="shared" si="27"/>
        <v>-74897.635496593226</v>
      </c>
      <c r="GM31" s="34">
        <f t="shared" si="28"/>
        <v>74898.231319583705</v>
      </c>
      <c r="GN31" s="55">
        <f t="shared" si="1"/>
        <v>602.49913363391772</v>
      </c>
      <c r="GO31" s="55">
        <f t="shared" si="2"/>
        <v>2.3833772849813339</v>
      </c>
      <c r="GP31" s="34">
        <f t="shared" si="29"/>
        <v>602.50384771958431</v>
      </c>
      <c r="GQ31" s="55">
        <f t="shared" si="30"/>
        <v>602.47915959343345</v>
      </c>
      <c r="GR31" s="55">
        <f t="shared" si="31"/>
        <v>-2.4631452071090147</v>
      </c>
      <c r="GS31" s="34">
        <f t="shared" si="32"/>
        <v>602.4841946712969</v>
      </c>
      <c r="GT31" s="56">
        <f t="shared" si="33"/>
        <v>632.57395460757493</v>
      </c>
      <c r="GU31" s="56">
        <f t="shared" si="33"/>
        <v>84.405897154577147</v>
      </c>
      <c r="GV31" s="34">
        <f t="shared" si="34"/>
        <v>638.18035344433417</v>
      </c>
      <c r="GW31" s="30">
        <f t="shared" si="35"/>
        <v>593.36270086635727</v>
      </c>
      <c r="GX31" s="30">
        <f t="shared" si="3"/>
        <v>-100.29561675210137</v>
      </c>
      <c r="GY31" s="34">
        <f t="shared" si="36"/>
        <v>601.7794492329416</v>
      </c>
      <c r="GZ31" s="34">
        <f t="shared" si="4"/>
        <v>620.95836224658103</v>
      </c>
      <c r="HA31" s="34">
        <f t="shared" si="4"/>
        <v>-15.809951675396547</v>
      </c>
      <c r="HB31" s="34">
        <f t="shared" si="37"/>
        <v>621.15959480308641</v>
      </c>
      <c r="HC31" s="33">
        <f t="shared" si="5"/>
        <v>0.95905019322838592</v>
      </c>
      <c r="HD31" s="33">
        <f t="shared" si="6"/>
        <v>-0.13709949767787286</v>
      </c>
      <c r="HE31" s="33">
        <f t="shared" si="38"/>
        <v>0.96880005439457395</v>
      </c>
      <c r="HF31" s="33">
        <f t="shared" si="39"/>
        <v>0.88394533880796244</v>
      </c>
      <c r="HG31" s="33">
        <f t="shared" si="7"/>
        <v>-0.24918654926932055</v>
      </c>
      <c r="HH31" s="33">
        <f t="shared" si="40"/>
        <v>0.91839713541423629</v>
      </c>
      <c r="HI31" s="30">
        <f t="shared" si="54"/>
        <v>0.87931243313476093</v>
      </c>
      <c r="HJ31" s="30">
        <f t="shared" si="41"/>
        <v>-0.25164018162135321</v>
      </c>
      <c r="HK31" s="33">
        <f t="shared" si="42"/>
        <v>0.91461092059509164</v>
      </c>
      <c r="HL31" s="61">
        <f t="shared" si="43"/>
        <v>0.87466009200203743</v>
      </c>
      <c r="HM31" s="61">
        <f t="shared" si="44"/>
        <v>-0.2540563885045764</v>
      </c>
      <c r="HN31" s="33">
        <f t="shared" si="45"/>
        <v>0.91081003786794135</v>
      </c>
      <c r="HO31" s="30">
        <f t="shared" si="46"/>
        <v>-0.73938959116354797</v>
      </c>
      <c r="HP31" s="30">
        <f t="shared" si="47"/>
        <v>-0.26907101323293886</v>
      </c>
      <c r="HQ31" s="29">
        <v>17</v>
      </c>
      <c r="HR31" s="30">
        <v>106.81415022205297</v>
      </c>
      <c r="HS31" s="30">
        <f t="shared" si="48"/>
        <v>-0.47031857793060911</v>
      </c>
      <c r="HT31" s="30">
        <f t="shared" si="49"/>
        <v>-0.81144383503699835</v>
      </c>
      <c r="HU31" s="30">
        <f t="shared" si="50"/>
        <v>-0.34112525710638925</v>
      </c>
      <c r="HV31" s="30">
        <f t="shared" si="8"/>
        <v>19.126679058283692</v>
      </c>
      <c r="HW31" s="30">
        <f t="shared" si="9"/>
        <v>19.442318787913806</v>
      </c>
      <c r="HX31" s="73">
        <f t="shared" si="10"/>
        <v>21.159594803086407</v>
      </c>
      <c r="HY31" s="30">
        <f t="shared" si="51"/>
        <v>19.198733302157144</v>
      </c>
      <c r="HZ31" s="74">
        <f t="shared" si="52"/>
        <v>-0.31563972963011366</v>
      </c>
    </row>
    <row r="32" spans="1:244" ht="15" customHeight="1">
      <c r="AI32" s="93" t="s">
        <v>40</v>
      </c>
      <c r="AJ32" s="136">
        <f t="shared" si="55"/>
        <v>121.21212121212122</v>
      </c>
      <c r="AK32" s="136"/>
      <c r="AL32" s="136"/>
      <c r="AM32" s="136"/>
      <c r="AN32" s="30" t="s">
        <v>43</v>
      </c>
      <c r="AW32" s="137" t="s">
        <v>15</v>
      </c>
      <c r="AX32" s="137"/>
      <c r="AY32" s="141" t="s">
        <v>16</v>
      </c>
      <c r="AZ32" s="141"/>
      <c r="BA32" s="141"/>
      <c r="BB32" s="141"/>
      <c r="BC32" s="141"/>
      <c r="BD32" s="141"/>
      <c r="BE32" s="142" t="s">
        <v>33</v>
      </c>
      <c r="BF32" s="141" t="s">
        <v>89</v>
      </c>
      <c r="BG32" s="141"/>
      <c r="BH32" s="141"/>
      <c r="BI32" s="141"/>
      <c r="BJ32" s="141"/>
      <c r="BK32" s="141"/>
      <c r="BL32" s="141"/>
      <c r="BM32" s="141"/>
      <c r="BN32" s="141"/>
      <c r="BO32" s="141"/>
      <c r="BP32" s="141"/>
      <c r="BQ32" s="141"/>
      <c r="BR32" s="142" t="s">
        <v>33</v>
      </c>
      <c r="BS32" s="141" t="s">
        <v>90</v>
      </c>
      <c r="BT32" s="141"/>
      <c r="BU32" s="141"/>
      <c r="BV32" s="141"/>
      <c r="BW32" s="141"/>
      <c r="BX32" s="141"/>
      <c r="BY32" s="141"/>
      <c r="BZ32" s="141"/>
      <c r="CA32" s="160" t="s">
        <v>91</v>
      </c>
      <c r="CB32" s="161" t="s">
        <v>92</v>
      </c>
      <c r="CC32" s="161"/>
      <c r="CD32" s="161"/>
      <c r="CE32" s="161"/>
      <c r="CF32" s="161"/>
      <c r="CG32" s="161"/>
      <c r="CH32" s="161"/>
      <c r="CI32" s="14"/>
      <c r="CJ32" s="104" t="s">
        <v>33</v>
      </c>
      <c r="CK32" s="106">
        <f>AJ30^2*(2*AJ30+AJ35)</f>
        <v>242634861.00676188</v>
      </c>
      <c r="CL32" s="106"/>
      <c r="CM32" s="106"/>
      <c r="CN32" s="106"/>
      <c r="CO32" s="107" t="s">
        <v>91</v>
      </c>
      <c r="CP32" s="106">
        <f>-(AJ30^2*AJ43*AJ37)</f>
        <v>-26026299.078682307</v>
      </c>
      <c r="CQ32" s="106"/>
      <c r="CR32" s="106"/>
      <c r="CS32" s="106"/>
      <c r="CT32" s="104" t="s">
        <v>33</v>
      </c>
      <c r="CU32" s="151">
        <f>CK32/CK33</f>
        <v>236.63702888564055</v>
      </c>
      <c r="CV32" s="152"/>
      <c r="CW32" s="152"/>
      <c r="CX32" s="153"/>
      <c r="CY32" s="115" t="s">
        <v>91</v>
      </c>
      <c r="CZ32" s="151">
        <f>CP32/CP33</f>
        <v>-25.382939868219633</v>
      </c>
      <c r="DA32" s="152"/>
      <c r="DB32" s="152"/>
      <c r="DC32" s="153"/>
      <c r="DD32" s="108" t="s">
        <v>33</v>
      </c>
      <c r="DE32" s="108" t="s">
        <v>98</v>
      </c>
      <c r="DF32" s="108"/>
      <c r="DG32" s="115" t="s">
        <v>96</v>
      </c>
      <c r="DH32" s="108" t="s">
        <v>99</v>
      </c>
      <c r="DI32" s="108"/>
      <c r="FO32" s="93" t="s">
        <v>228</v>
      </c>
      <c r="FP32" s="30">
        <f>SQRT(FP54^2+FR54^2)</f>
        <v>127325.00597009457</v>
      </c>
      <c r="FT32" s="29">
        <v>20</v>
      </c>
      <c r="FU32" s="27">
        <f t="shared" si="12"/>
        <v>125.66370614359172</v>
      </c>
      <c r="FV32" s="30">
        <f t="shared" si="53"/>
        <v>33.252514647357415</v>
      </c>
      <c r="FW32" s="30">
        <f t="shared" si="13"/>
        <v>98.181332061609311</v>
      </c>
      <c r="FX32" s="34">
        <f t="shared" si="14"/>
        <v>103.65955670252845</v>
      </c>
      <c r="FY32" s="30">
        <f t="shared" si="15"/>
        <v>228.82828813086675</v>
      </c>
      <c r="FZ32" s="30">
        <f t="shared" si="16"/>
        <v>-49.090666030804655</v>
      </c>
      <c r="GA32" s="34">
        <f t="shared" si="17"/>
        <v>234.03478147542722</v>
      </c>
      <c r="GB32" s="34">
        <f t="shared" si="18"/>
        <v>2.5027850609326507</v>
      </c>
      <c r="GC32" s="34">
        <f t="shared" si="19"/>
        <v>2.8039561409023102</v>
      </c>
      <c r="GD32" s="34">
        <f t="shared" si="20"/>
        <v>3.7584708461462659</v>
      </c>
      <c r="GE32" s="55">
        <f t="shared" si="21"/>
        <v>298.74860746953368</v>
      </c>
      <c r="GF32" s="55">
        <f t="shared" si="22"/>
        <v>-1.4019780704511551</v>
      </c>
      <c r="GG32" s="34">
        <f t="shared" si="23"/>
        <v>298.75189707765128</v>
      </c>
      <c r="GH32" s="30">
        <f t="shared" si="24"/>
        <v>350.06818884630297</v>
      </c>
      <c r="GI32" s="30">
        <f t="shared" si="0"/>
        <v>-1715.8090977794998</v>
      </c>
      <c r="GJ32" s="34">
        <f t="shared" si="25"/>
        <v>1751.1563599133665</v>
      </c>
      <c r="GK32" s="34">
        <f t="shared" si="26"/>
        <v>298.74860746953368</v>
      </c>
      <c r="GL32" s="34">
        <f t="shared" si="27"/>
        <v>-63663.379214828601</v>
      </c>
      <c r="GM32" s="34">
        <f t="shared" si="28"/>
        <v>63664.080169130968</v>
      </c>
      <c r="GN32" s="55">
        <f t="shared" si="1"/>
        <v>602.50278506093264</v>
      </c>
      <c r="GO32" s="55">
        <f t="shared" si="2"/>
        <v>2.8039561409023102</v>
      </c>
      <c r="GP32" s="34">
        <f t="shared" si="29"/>
        <v>602.50930961788504</v>
      </c>
      <c r="GQ32" s="55">
        <f t="shared" si="30"/>
        <v>602.47513954593842</v>
      </c>
      <c r="GR32" s="55">
        <f t="shared" si="31"/>
        <v>-2.8977961100360665</v>
      </c>
      <c r="GS32" s="34">
        <f t="shared" si="32"/>
        <v>602.48210844239463</v>
      </c>
      <c r="GT32" s="56">
        <f t="shared" si="33"/>
        <v>638.23043925422849</v>
      </c>
      <c r="GU32" s="56">
        <f t="shared" si="33"/>
        <v>98.087492092475557</v>
      </c>
      <c r="GV32" s="34">
        <f t="shared" si="34"/>
        <v>645.72381843605308</v>
      </c>
      <c r="GW32" s="30">
        <f t="shared" si="35"/>
        <v>585.21725585354716</v>
      </c>
      <c r="GX32" s="30">
        <f t="shared" si="3"/>
        <v>-115.37573906271712</v>
      </c>
      <c r="GY32" s="34">
        <f t="shared" si="36"/>
        <v>596.48201792931218</v>
      </c>
      <c r="GZ32" s="34">
        <f t="shared" si="4"/>
        <v>618.46977050090459</v>
      </c>
      <c r="HA32" s="34">
        <f t="shared" si="4"/>
        <v>-17.194407001107805</v>
      </c>
      <c r="HB32" s="34">
        <f t="shared" si="37"/>
        <v>618.70873976012444</v>
      </c>
      <c r="HC32" s="33">
        <f t="shared" si="5"/>
        <v>0.95068578779399304</v>
      </c>
      <c r="HD32" s="33">
        <f t="shared" si="6"/>
        <v>-0.16011980766176112</v>
      </c>
      <c r="HE32" s="33">
        <f t="shared" si="38"/>
        <v>0.9640756297714016</v>
      </c>
      <c r="HF32" s="33">
        <f t="shared" si="39"/>
        <v>0.857528357932694</v>
      </c>
      <c r="HG32" s="33">
        <f t="shared" si="7"/>
        <v>-0.2837078210998899</v>
      </c>
      <c r="HH32" s="33">
        <f t="shared" si="40"/>
        <v>0.903241392105117</v>
      </c>
      <c r="HI32" s="30">
        <f t="shared" si="54"/>
        <v>0.85266627878087242</v>
      </c>
      <c r="HJ32" s="30">
        <f t="shared" si="41"/>
        <v>-0.28650935880453193</v>
      </c>
      <c r="HK32" s="33">
        <f t="shared" si="42"/>
        <v>0.89951508917449763</v>
      </c>
      <c r="HL32" s="61">
        <f t="shared" si="43"/>
        <v>0.84777812581951828</v>
      </c>
      <c r="HM32" s="61">
        <f t="shared" si="44"/>
        <v>-0.28926463459767704</v>
      </c>
      <c r="HN32" s="33">
        <f t="shared" si="45"/>
        <v>0.89576882031413807</v>
      </c>
      <c r="HO32" s="30">
        <f t="shared" si="46"/>
        <v>-0.88392337137509391</v>
      </c>
      <c r="HP32" s="30">
        <f t="shared" si="47"/>
        <v>-0.24593766480977763</v>
      </c>
      <c r="HQ32" s="29">
        <v>20</v>
      </c>
      <c r="HR32" s="30">
        <v>125.66370614359172</v>
      </c>
      <c r="HS32" s="30">
        <f t="shared" si="48"/>
        <v>-0.63798570656531628</v>
      </c>
      <c r="HT32" s="30">
        <f t="shared" si="49"/>
        <v>-0.95608116873046489</v>
      </c>
      <c r="HU32" s="30">
        <f t="shared" si="50"/>
        <v>-0.31809546216514861</v>
      </c>
      <c r="HV32" s="30">
        <f t="shared" si="8"/>
        <v>18.982041724590228</v>
      </c>
      <c r="HW32" s="30">
        <f t="shared" si="9"/>
        <v>19.274651659279098</v>
      </c>
      <c r="HX32" s="73">
        <f t="shared" si="10"/>
        <v>18.708739760124445</v>
      </c>
      <c r="HY32" s="30">
        <f t="shared" si="51"/>
        <v>19.054199521945598</v>
      </c>
      <c r="HZ32" s="74">
        <f t="shared" si="52"/>
        <v>-0.29260993468886909</v>
      </c>
    </row>
    <row r="33" spans="1:234" ht="15" customHeight="1" thickBot="1">
      <c r="AI33" s="93" t="s">
        <v>41</v>
      </c>
      <c r="AJ33" s="136">
        <f t="shared" si="55"/>
        <v>100000000</v>
      </c>
      <c r="AK33" s="136"/>
      <c r="AL33" s="136"/>
      <c r="AM33" s="136"/>
      <c r="AN33" s="30" t="s">
        <v>43</v>
      </c>
      <c r="AW33" s="137"/>
      <c r="AX33" s="137"/>
      <c r="AY33" s="142" t="s">
        <v>14</v>
      </c>
      <c r="AZ33" s="142"/>
      <c r="BA33" s="142"/>
      <c r="BB33" s="142"/>
      <c r="BC33" s="142"/>
      <c r="BD33" s="142"/>
      <c r="BE33" s="142"/>
      <c r="BF33" s="142" t="s">
        <v>34</v>
      </c>
      <c r="BG33" s="142"/>
      <c r="BH33" s="142"/>
      <c r="BI33" s="142"/>
      <c r="BJ33" s="142"/>
      <c r="BK33" s="142"/>
      <c r="BL33" s="142"/>
      <c r="BM33" s="142"/>
      <c r="BN33" s="142"/>
      <c r="BO33" s="142"/>
      <c r="BP33" s="142"/>
      <c r="BQ33" s="142"/>
      <c r="BR33" s="142"/>
      <c r="BS33" s="158" t="s">
        <v>88</v>
      </c>
      <c r="BT33" s="158"/>
      <c r="BU33" s="158"/>
      <c r="BV33" s="158"/>
      <c r="BW33" s="158"/>
      <c r="BX33" s="158"/>
      <c r="BY33" s="158"/>
      <c r="BZ33" s="158"/>
      <c r="CA33" s="142"/>
      <c r="CB33" s="158" t="s">
        <v>88</v>
      </c>
      <c r="CC33" s="158"/>
      <c r="CD33" s="158"/>
      <c r="CE33" s="158"/>
      <c r="CF33" s="158"/>
      <c r="CG33" s="158"/>
      <c r="CH33" s="158"/>
      <c r="CI33" s="158"/>
      <c r="CJ33" s="104"/>
      <c r="CK33" s="108">
        <f>CN31</f>
        <v>1025346.1267214435</v>
      </c>
      <c r="CL33" s="108"/>
      <c r="CM33" s="108"/>
      <c r="CN33" s="108"/>
      <c r="CO33" s="104"/>
      <c r="CP33" s="108">
        <f>CK33</f>
        <v>1025346.1267214435</v>
      </c>
      <c r="CQ33" s="108"/>
      <c r="CR33" s="108"/>
      <c r="CS33" s="108"/>
      <c r="CT33" s="104"/>
      <c r="CU33" s="159"/>
      <c r="CV33" s="155"/>
      <c r="CW33" s="155"/>
      <c r="CX33" s="156"/>
      <c r="CY33" s="116"/>
      <c r="CZ33" s="159"/>
      <c r="DA33" s="155"/>
      <c r="DB33" s="155"/>
      <c r="DC33" s="156"/>
      <c r="DD33" s="108"/>
      <c r="DE33" s="108"/>
      <c r="DF33" s="108"/>
      <c r="DG33" s="116"/>
      <c r="DH33" s="108"/>
      <c r="DI33" s="108"/>
      <c r="FO33" s="93" t="s">
        <v>229</v>
      </c>
      <c r="FP33" s="30">
        <f t="shared" si="11"/>
        <v>602.49454746304457</v>
      </c>
      <c r="FT33" s="29">
        <v>25</v>
      </c>
      <c r="FU33" s="27">
        <f t="shared" si="12"/>
        <v>157.07963267948966</v>
      </c>
      <c r="FV33" s="30">
        <f t="shared" si="53"/>
        <v>44.305554154027561</v>
      </c>
      <c r="FW33" s="30">
        <f t="shared" si="13"/>
        <v>119.76264631714074</v>
      </c>
      <c r="FX33" s="34">
        <f t="shared" si="14"/>
        <v>127.69523711470218</v>
      </c>
      <c r="FY33" s="30">
        <f t="shared" si="15"/>
        <v>223.30176837753172</v>
      </c>
      <c r="FZ33" s="30">
        <f t="shared" si="16"/>
        <v>-59.881323158570368</v>
      </c>
      <c r="GA33" s="34">
        <f t="shared" si="17"/>
        <v>231.19137662065592</v>
      </c>
      <c r="GB33" s="34">
        <f t="shared" si="18"/>
        <v>2.51018646526208</v>
      </c>
      <c r="GC33" s="34">
        <f t="shared" si="19"/>
        <v>3.5049017591616622</v>
      </c>
      <c r="GD33" s="34">
        <f t="shared" si="20"/>
        <v>4.311075553937723</v>
      </c>
      <c r="GE33" s="55">
        <f t="shared" si="21"/>
        <v>298.74490676736895</v>
      </c>
      <c r="GF33" s="55">
        <f t="shared" si="22"/>
        <v>-1.7524508795808311</v>
      </c>
      <c r="GG33" s="34">
        <f t="shared" si="23"/>
        <v>298.75004670046383</v>
      </c>
      <c r="GH33" s="30">
        <f t="shared" si="24"/>
        <v>344.5316684717763</v>
      </c>
      <c r="GI33" s="30">
        <f t="shared" si="0"/>
        <v>-1393.2560686908723</v>
      </c>
      <c r="GJ33" s="34">
        <f t="shared" si="25"/>
        <v>1435.2228201655278</v>
      </c>
      <c r="GK33" s="34">
        <f t="shared" si="26"/>
        <v>298.74490676736895</v>
      </c>
      <c r="GL33" s="34">
        <f t="shared" si="27"/>
        <v>-50931.334240286094</v>
      </c>
      <c r="GM33" s="34">
        <f t="shared" si="28"/>
        <v>50932.210397891213</v>
      </c>
      <c r="GN33" s="55">
        <f t="shared" si="1"/>
        <v>602.51018646526211</v>
      </c>
      <c r="GO33" s="55">
        <f t="shared" si="2"/>
        <v>3.5049017591616622</v>
      </c>
      <c r="GP33" s="34">
        <f t="shared" si="29"/>
        <v>602.52038067665922</v>
      </c>
      <c r="GQ33" s="55">
        <f t="shared" si="30"/>
        <v>602.46699103148023</v>
      </c>
      <c r="GR33" s="55">
        <f t="shared" si="31"/>
        <v>-3.6221899521431871</v>
      </c>
      <c r="GS33" s="34">
        <f t="shared" si="32"/>
        <v>602.47787971225557</v>
      </c>
      <c r="GT33" s="56">
        <f t="shared" si="33"/>
        <v>649.28273165076985</v>
      </c>
      <c r="GU33" s="56">
        <f t="shared" si="33"/>
        <v>119.64535812415922</v>
      </c>
      <c r="GV33" s="34">
        <f t="shared" si="34"/>
        <v>660.21441770120714</v>
      </c>
      <c r="GW33" s="30">
        <f t="shared" si="35"/>
        <v>570.0198326509327</v>
      </c>
      <c r="GX33" s="30">
        <f t="shared" si="3"/>
        <v>-138.26739398481746</v>
      </c>
      <c r="GY33" s="34">
        <f t="shared" si="36"/>
        <v>586.54964142410836</v>
      </c>
      <c r="GZ33" s="34">
        <f t="shared" si="4"/>
        <v>614.32538680496032</v>
      </c>
      <c r="HA33" s="34">
        <f t="shared" si="4"/>
        <v>-18.504747667676725</v>
      </c>
      <c r="HB33" s="34">
        <f t="shared" si="37"/>
        <v>614.60402419713171</v>
      </c>
      <c r="HC33" s="33">
        <f t="shared" si="5"/>
        <v>0.9338116840503522</v>
      </c>
      <c r="HD33" s="33">
        <f t="shared" si="6"/>
        <v>-0.19694358559977473</v>
      </c>
      <c r="HE33" s="33">
        <f t="shared" si="38"/>
        <v>0.95435372749198744</v>
      </c>
      <c r="HF33" s="33">
        <f t="shared" si="39"/>
        <v>0.80874662909997685</v>
      </c>
      <c r="HG33" s="33">
        <f t="shared" si="7"/>
        <v>-0.33270356528411493</v>
      </c>
      <c r="HH33" s="33">
        <f t="shared" si="40"/>
        <v>0.87450715973817894</v>
      </c>
      <c r="HI33" s="30">
        <f t="shared" si="54"/>
        <v>0.80346409858708134</v>
      </c>
      <c r="HJ33" s="30">
        <f t="shared" si="41"/>
        <v>-0.33600955623614043</v>
      </c>
      <c r="HK33" s="33">
        <f t="shared" si="42"/>
        <v>0.87089435616517763</v>
      </c>
      <c r="HL33" s="61">
        <f t="shared" si="43"/>
        <v>0.79814320640622294</v>
      </c>
      <c r="HM33" s="61">
        <f t="shared" si="44"/>
        <v>-0.33925259997519608</v>
      </c>
      <c r="HN33" s="33">
        <f t="shared" si="45"/>
        <v>0.86725135025685429</v>
      </c>
      <c r="HO33" s="30">
        <f t="shared" si="46"/>
        <v>-1.164732610565917</v>
      </c>
      <c r="HP33" s="30">
        <f t="shared" si="47"/>
        <v>-0.20592685289124724</v>
      </c>
      <c r="HQ33" s="29">
        <v>25</v>
      </c>
      <c r="HR33" s="30">
        <v>157.07963267948966</v>
      </c>
      <c r="HS33" s="30">
        <f t="shared" si="48"/>
        <v>-0.9588057576746698</v>
      </c>
      <c r="HT33" s="30">
        <f t="shared" si="49"/>
        <v>-1.2371003063131631</v>
      </c>
      <c r="HU33" s="30">
        <f t="shared" si="50"/>
        <v>-0.27829454863849334</v>
      </c>
      <c r="HV33" s="30">
        <f t="shared" si="8"/>
        <v>18.701022587007529</v>
      </c>
      <c r="HW33" s="30">
        <f t="shared" si="9"/>
        <v>18.953831608169743</v>
      </c>
      <c r="HX33" s="73">
        <f t="shared" si="10"/>
        <v>14.604024197131707</v>
      </c>
      <c r="HY33" s="30">
        <f t="shared" si="51"/>
        <v>18.773390282754775</v>
      </c>
      <c r="HZ33" s="74">
        <f t="shared" si="52"/>
        <v>-0.25280902116221426</v>
      </c>
    </row>
    <row r="34" spans="1:234" ht="15" customHeight="1">
      <c r="AI34" s="93" t="s">
        <v>42</v>
      </c>
      <c r="AJ34" s="136">
        <f t="shared" si="55"/>
        <v>600</v>
      </c>
      <c r="AK34" s="136"/>
      <c r="AL34" s="136"/>
      <c r="AM34" s="136"/>
      <c r="AN34" s="30" t="s">
        <v>43</v>
      </c>
      <c r="AW34" s="137" t="s">
        <v>17</v>
      </c>
      <c r="AX34" s="137"/>
      <c r="AY34" s="105" t="s">
        <v>19</v>
      </c>
      <c r="AZ34" s="105"/>
      <c r="BA34" s="105"/>
      <c r="BB34" s="105"/>
      <c r="BC34" s="105"/>
      <c r="BD34" s="105"/>
      <c r="BE34" s="104" t="s">
        <v>33</v>
      </c>
      <c r="BF34" s="105" t="s">
        <v>36</v>
      </c>
      <c r="BG34" s="105"/>
      <c r="BH34" s="105"/>
      <c r="BI34" s="105"/>
      <c r="BJ34" s="105"/>
      <c r="BK34" s="105"/>
      <c r="BL34" s="105"/>
      <c r="BM34" s="105"/>
      <c r="BN34" s="105"/>
      <c r="BO34" s="105"/>
      <c r="BP34" s="105"/>
      <c r="BQ34" s="105"/>
      <c r="BR34" s="104" t="s">
        <v>33</v>
      </c>
      <c r="BS34" s="105" t="s">
        <v>55</v>
      </c>
      <c r="BT34" s="105"/>
      <c r="BU34" s="105"/>
      <c r="BV34" s="105"/>
      <c r="BW34" s="105"/>
      <c r="BX34" s="105"/>
      <c r="BY34" s="105"/>
      <c r="BZ34" s="105"/>
      <c r="CA34" s="105"/>
      <c r="CB34" s="105"/>
      <c r="CC34" s="105"/>
      <c r="CD34" s="105"/>
      <c r="CE34" s="105"/>
      <c r="CF34" s="105"/>
      <c r="CG34" s="105"/>
      <c r="CH34" s="104" t="s">
        <v>33</v>
      </c>
      <c r="CI34" s="105" t="s">
        <v>296</v>
      </c>
      <c r="CJ34" s="105"/>
      <c r="CK34" s="105"/>
      <c r="CL34" s="105"/>
      <c r="CM34" s="105"/>
      <c r="CN34" s="105"/>
      <c r="CO34" s="105"/>
      <c r="CP34" s="105"/>
      <c r="CQ34" s="105"/>
      <c r="CR34" s="105"/>
      <c r="CS34" s="105"/>
      <c r="CT34" s="119" t="s">
        <v>91</v>
      </c>
      <c r="CU34" s="163" t="s">
        <v>298</v>
      </c>
      <c r="CV34" s="163"/>
      <c r="CW34" s="163"/>
      <c r="CX34" s="163"/>
      <c r="CY34" s="163"/>
      <c r="CZ34" s="163"/>
      <c r="DA34" s="163"/>
      <c r="DB34" s="163"/>
      <c r="DC34" s="104" t="s">
        <v>33</v>
      </c>
      <c r="DD34" s="106">
        <f>AJ31*(2*AJ31*AJ36+AJ36^2+(AJ43*AJ38)^2)</f>
        <v>3619796.6277389294</v>
      </c>
      <c r="DE34" s="106"/>
      <c r="DF34" s="106"/>
      <c r="DG34" s="106"/>
      <c r="DH34" s="119" t="s">
        <v>91</v>
      </c>
      <c r="DI34" s="106">
        <f>2*AJ31^2*AJ43*AJ38</f>
        <v>2035752.0395261857</v>
      </c>
      <c r="DJ34" s="106"/>
      <c r="DK34" s="106"/>
      <c r="DL34" s="106"/>
      <c r="DM34" s="104" t="s">
        <v>33</v>
      </c>
      <c r="DN34" s="151">
        <f>DD34/DD35</f>
        <v>2.4929162365801627</v>
      </c>
      <c r="DO34" s="152"/>
      <c r="DP34" s="152"/>
      <c r="DQ34" s="153"/>
      <c r="DR34" s="115" t="s">
        <v>91</v>
      </c>
      <c r="DS34" s="151">
        <f>DI34/DI35</f>
        <v>1.4020012268357831</v>
      </c>
      <c r="DT34" s="152"/>
      <c r="DU34" s="152"/>
      <c r="DV34" s="153"/>
      <c r="DW34" s="108" t="s">
        <v>33</v>
      </c>
      <c r="DX34" s="108" t="s">
        <v>100</v>
      </c>
      <c r="DY34" s="108"/>
      <c r="DZ34" s="115" t="s">
        <v>96</v>
      </c>
      <c r="EA34" s="108" t="s">
        <v>101</v>
      </c>
      <c r="EB34" s="108"/>
      <c r="FO34" s="93" t="s">
        <v>230</v>
      </c>
      <c r="FP34" s="30">
        <f>SQRT(FP56^2+FR56^2)</f>
        <v>619.71784604330867</v>
      </c>
      <c r="FT34" s="29">
        <v>30</v>
      </c>
      <c r="FU34" s="27">
        <f t="shared" si="12"/>
        <v>188.49555921538757</v>
      </c>
      <c r="FV34" s="30">
        <f t="shared" si="53"/>
        <v>57.11057393481898</v>
      </c>
      <c r="FW34" s="30">
        <f t="shared" si="13"/>
        <v>139.59457304463686</v>
      </c>
      <c r="FX34" s="34">
        <f t="shared" si="14"/>
        <v>150.82527135290982</v>
      </c>
      <c r="FY34" s="30">
        <f t="shared" si="15"/>
        <v>216.89925848713597</v>
      </c>
      <c r="FZ34" s="30">
        <f t="shared" si="16"/>
        <v>-69.79728652231843</v>
      </c>
      <c r="GA34" s="34">
        <f t="shared" si="17"/>
        <v>227.8529120686151</v>
      </c>
      <c r="GB34" s="34">
        <f t="shared" si="18"/>
        <v>2.5192323770953342</v>
      </c>
      <c r="GC34" s="34">
        <f t="shared" si="19"/>
        <v>4.2058184345297338</v>
      </c>
      <c r="GD34" s="34">
        <f t="shared" si="20"/>
        <v>4.9025952794449132</v>
      </c>
      <c r="GE34" s="55">
        <f t="shared" si="21"/>
        <v>298.74038381145232</v>
      </c>
      <c r="GF34" s="55">
        <f t="shared" si="22"/>
        <v>-2.1029092172648669</v>
      </c>
      <c r="GG34" s="34">
        <f t="shared" si="23"/>
        <v>298.74778517503671</v>
      </c>
      <c r="GH34" s="30">
        <f t="shared" si="24"/>
        <v>338.12372614517693</v>
      </c>
      <c r="GI34" s="30">
        <f t="shared" si="0"/>
        <v>-1180.9429078595992</v>
      </c>
      <c r="GJ34" s="34">
        <f t="shared" si="25"/>
        <v>1228.3948086043772</v>
      </c>
      <c r="GK34" s="34">
        <f t="shared" si="26"/>
        <v>298.74038381145232</v>
      </c>
      <c r="GL34" s="34">
        <f t="shared" si="27"/>
        <v>-42443.421067056028</v>
      </c>
      <c r="GM34" s="34">
        <f t="shared" si="28"/>
        <v>42444.472404452565</v>
      </c>
      <c r="GN34" s="55">
        <f t="shared" si="1"/>
        <v>602.51923237709536</v>
      </c>
      <c r="GO34" s="55">
        <f t="shared" si="2"/>
        <v>4.2058184345297338</v>
      </c>
      <c r="GP34" s="34">
        <f t="shared" si="29"/>
        <v>602.53391132200056</v>
      </c>
      <c r="GQ34" s="55">
        <f t="shared" si="30"/>
        <v>602.45703215515516</v>
      </c>
      <c r="GR34" s="55">
        <f t="shared" si="31"/>
        <v>-4.3465470086370477</v>
      </c>
      <c r="GS34" s="34">
        <f t="shared" si="32"/>
        <v>602.47271146840831</v>
      </c>
      <c r="GT34" s="56">
        <f t="shared" si="33"/>
        <v>662.08683846706947</v>
      </c>
      <c r="GU34" s="56">
        <f t="shared" si="33"/>
        <v>139.45384447052953</v>
      </c>
      <c r="GV34" s="34">
        <f t="shared" si="34"/>
        <v>676.61389019804346</v>
      </c>
      <c r="GW34" s="30">
        <f t="shared" si="35"/>
        <v>553.37500484157852</v>
      </c>
      <c r="GX34" s="30">
        <f t="shared" si="3"/>
        <v>-158.36674083047114</v>
      </c>
      <c r="GY34" s="34">
        <f t="shared" si="36"/>
        <v>575.5900629655473</v>
      </c>
      <c r="GZ34" s="34">
        <f t="shared" si="4"/>
        <v>610.48557877639746</v>
      </c>
      <c r="HA34" s="34">
        <f t="shared" si="4"/>
        <v>-18.772167785834284</v>
      </c>
      <c r="HB34" s="34">
        <f t="shared" si="37"/>
        <v>610.77412860838535</v>
      </c>
      <c r="HC34" s="33">
        <f t="shared" si="5"/>
        <v>0.91356354887848901</v>
      </c>
      <c r="HD34" s="33">
        <f t="shared" si="6"/>
        <v>-0.23131942427034063</v>
      </c>
      <c r="HE34" s="33">
        <f t="shared" si="38"/>
        <v>0.94239430913191591</v>
      </c>
      <c r="HF34" s="33">
        <f t="shared" si="39"/>
        <v>0.75658612796165414</v>
      </c>
      <c r="HG34" s="33">
        <f t="shared" si="7"/>
        <v>-0.37091836848823079</v>
      </c>
      <c r="HH34" s="33">
        <f t="shared" si="40"/>
        <v>0.84261676051807766</v>
      </c>
      <c r="HI34" s="30">
        <f t="shared" si="54"/>
        <v>0.75085778991568397</v>
      </c>
      <c r="HJ34" s="30">
        <f t="shared" si="41"/>
        <v>-0.37463494481328585</v>
      </c>
      <c r="HK34" s="33">
        <f t="shared" si="42"/>
        <v>0.83912976502583869</v>
      </c>
      <c r="HL34" s="61">
        <f t="shared" si="43"/>
        <v>0.74507786162995937</v>
      </c>
      <c r="HM34" s="61">
        <f t="shared" si="44"/>
        <v>-0.37826946734030753</v>
      </c>
      <c r="HN34" s="33">
        <f t="shared" si="45"/>
        <v>0.83560086752766893</v>
      </c>
      <c r="HO34" s="30">
        <f t="shared" si="46"/>
        <v>-1.4873981311447055</v>
      </c>
      <c r="HP34" s="30">
        <f t="shared" si="47"/>
        <v>-0.16681812324289425</v>
      </c>
      <c r="HQ34" s="29">
        <v>30</v>
      </c>
      <c r="HR34" s="30">
        <v>188.49555921538757</v>
      </c>
      <c r="HS34" s="30">
        <f t="shared" si="48"/>
        <v>-1.3205800079018113</v>
      </c>
      <c r="HT34" s="30">
        <f t="shared" si="49"/>
        <v>-1.560022356068091</v>
      </c>
      <c r="HU34" s="30">
        <f t="shared" si="50"/>
        <v>-0.23944234816627974</v>
      </c>
      <c r="HV34" s="30">
        <f t="shared" si="8"/>
        <v>18.3781005372526</v>
      </c>
      <c r="HW34" s="30">
        <f t="shared" si="9"/>
        <v>18.592057357942604</v>
      </c>
      <c r="HX34" s="73">
        <f t="shared" si="10"/>
        <v>10.774128608385354</v>
      </c>
      <c r="HY34" s="30">
        <f t="shared" si="51"/>
        <v>18.450724762175987</v>
      </c>
      <c r="HZ34" s="74">
        <f t="shared" si="52"/>
        <v>-0.21395682069000443</v>
      </c>
    </row>
    <row r="35" spans="1:234" ht="15" customHeight="1" thickBot="1">
      <c r="A35" s="10"/>
      <c r="B35" s="162"/>
      <c r="C35" s="162"/>
      <c r="D35" s="11"/>
      <c r="F35" s="11"/>
      <c r="G35" s="90"/>
      <c r="H35" s="11"/>
      <c r="J35" s="96"/>
      <c r="L35" s="12"/>
      <c r="M35" s="96"/>
      <c r="N35" s="96"/>
      <c r="O35" s="96"/>
      <c r="P35" s="89"/>
      <c r="AE35" s="89"/>
      <c r="AI35" s="93" t="s">
        <v>53</v>
      </c>
      <c r="AJ35" s="136">
        <f t="shared" si="55"/>
        <v>25</v>
      </c>
      <c r="AK35" s="136"/>
      <c r="AL35" s="136"/>
      <c r="AM35" s="136"/>
      <c r="AN35" s="30" t="s">
        <v>43</v>
      </c>
      <c r="AW35" s="137"/>
      <c r="AX35" s="137"/>
      <c r="AY35" s="104" t="s">
        <v>21</v>
      </c>
      <c r="AZ35" s="104"/>
      <c r="BA35" s="104"/>
      <c r="BB35" s="104"/>
      <c r="BC35" s="104"/>
      <c r="BD35" s="104"/>
      <c r="BE35" s="104"/>
      <c r="BF35" s="104" t="s">
        <v>37</v>
      </c>
      <c r="BG35" s="104"/>
      <c r="BH35" s="104"/>
      <c r="BI35" s="104"/>
      <c r="BJ35" s="104"/>
      <c r="BK35" s="104"/>
      <c r="BL35" s="104"/>
      <c r="BM35" s="104"/>
      <c r="BN35" s="104"/>
      <c r="BO35" s="104"/>
      <c r="BP35" s="104"/>
      <c r="BQ35" s="104"/>
      <c r="BR35" s="104"/>
      <c r="BS35" s="111" t="s">
        <v>37</v>
      </c>
      <c r="BT35" s="111"/>
      <c r="BU35" s="111"/>
      <c r="BV35" s="111"/>
      <c r="BW35" s="111"/>
      <c r="BX35" s="111"/>
      <c r="BY35" s="111"/>
      <c r="BZ35" s="111"/>
      <c r="CA35" s="111"/>
      <c r="CB35" s="111"/>
      <c r="CC35" s="111"/>
      <c r="CD35" s="111"/>
      <c r="CE35" s="111"/>
      <c r="CF35" s="111"/>
      <c r="CG35" s="111"/>
      <c r="CH35" s="104"/>
      <c r="CI35" s="111" t="s">
        <v>37</v>
      </c>
      <c r="CJ35" s="111"/>
      <c r="CK35" s="111"/>
      <c r="CL35" s="111"/>
      <c r="CM35" s="111"/>
      <c r="CN35" s="111"/>
      <c r="CO35" s="111"/>
      <c r="CP35" s="111"/>
      <c r="CQ35" s="111"/>
      <c r="CR35" s="111"/>
      <c r="CS35" s="111"/>
      <c r="CT35" s="110"/>
      <c r="CU35" s="111" t="s">
        <v>37</v>
      </c>
      <c r="CV35" s="111"/>
      <c r="CW35" s="111"/>
      <c r="CX35" s="111"/>
      <c r="CY35" s="111"/>
      <c r="CZ35" s="111"/>
      <c r="DA35" s="111"/>
      <c r="DB35" s="111"/>
      <c r="DC35" s="104"/>
      <c r="DD35" s="112">
        <f>((2*AJ31+AJ36)^2+(AJ43*AJ38)^2)</f>
        <v>1452032.9943795649</v>
      </c>
      <c r="DE35" s="112"/>
      <c r="DF35" s="112"/>
      <c r="DG35" s="112"/>
      <c r="DH35" s="110"/>
      <c r="DI35" s="112">
        <f>DD35</f>
        <v>1452032.9943795649</v>
      </c>
      <c r="DJ35" s="112"/>
      <c r="DK35" s="112"/>
      <c r="DL35" s="112"/>
      <c r="DM35" s="104"/>
      <c r="DN35" s="159"/>
      <c r="DO35" s="155"/>
      <c r="DP35" s="155"/>
      <c r="DQ35" s="156"/>
      <c r="DR35" s="116"/>
      <c r="DS35" s="159"/>
      <c r="DT35" s="155"/>
      <c r="DU35" s="155"/>
      <c r="DV35" s="156"/>
      <c r="DW35" s="108"/>
      <c r="DX35" s="108"/>
      <c r="DY35" s="108"/>
      <c r="DZ35" s="116"/>
      <c r="EA35" s="108"/>
      <c r="EB35" s="108"/>
      <c r="FO35" s="93" t="s">
        <v>231</v>
      </c>
      <c r="FP35" s="30">
        <f>SQRT(FP57^2+FR57^2)</f>
        <v>602.48774698306829</v>
      </c>
      <c r="FT35" s="29">
        <v>40</v>
      </c>
      <c r="FU35" s="27">
        <f t="shared" si="12"/>
        <v>251.32741228718345</v>
      </c>
      <c r="FV35" s="30">
        <f t="shared" si="53"/>
        <v>86.617131580002876</v>
      </c>
      <c r="FW35" s="30">
        <f t="shared" si="13"/>
        <v>173.4659793723882</v>
      </c>
      <c r="FX35" s="34">
        <f t="shared" si="14"/>
        <v>193.88907520221281</v>
      </c>
      <c r="FY35" s="30">
        <f t="shared" si="15"/>
        <v>202.14597966454403</v>
      </c>
      <c r="FZ35" s="30">
        <f t="shared" si="16"/>
        <v>-86.732989686194102</v>
      </c>
      <c r="GA35" s="34">
        <f t="shared" si="17"/>
        <v>219.96728982838266</v>
      </c>
      <c r="GB35" s="34">
        <f t="shared" si="18"/>
        <v>2.5422570985566448</v>
      </c>
      <c r="GC35" s="34">
        <f t="shared" si="19"/>
        <v>5.6075418102458494</v>
      </c>
      <c r="GD35" s="34">
        <f t="shared" si="20"/>
        <v>6.1569145120601556</v>
      </c>
      <c r="GE35" s="55">
        <f t="shared" si="21"/>
        <v>298.72887145072167</v>
      </c>
      <c r="GF35" s="55">
        <f t="shared" si="22"/>
        <v>-2.8037709051229247</v>
      </c>
      <c r="GG35" s="34">
        <f t="shared" si="23"/>
        <v>298.74202879660271</v>
      </c>
      <c r="GH35" s="30">
        <f t="shared" si="24"/>
        <v>323.36504575249546</v>
      </c>
      <c r="GI35" s="30">
        <f t="shared" si="0"/>
        <v>-920.09220573416894</v>
      </c>
      <c r="GJ35" s="34">
        <f t="shared" si="25"/>
        <v>975.26130850520349</v>
      </c>
      <c r="GK35" s="34">
        <f t="shared" si="26"/>
        <v>298.72887145072167</v>
      </c>
      <c r="GL35" s="34">
        <f t="shared" si="27"/>
        <v>-31833.792389284197</v>
      </c>
      <c r="GM35" s="34">
        <f t="shared" si="28"/>
        <v>31835.193996938149</v>
      </c>
      <c r="GN35" s="55">
        <f t="shared" si="1"/>
        <v>602.54225709855666</v>
      </c>
      <c r="GO35" s="55">
        <f t="shared" si="2"/>
        <v>5.6075418102458494</v>
      </c>
      <c r="GP35" s="34">
        <f t="shared" si="29"/>
        <v>602.56834974513617</v>
      </c>
      <c r="GQ35" s="55">
        <f t="shared" si="30"/>
        <v>602.43168436812175</v>
      </c>
      <c r="GR35" s="55">
        <f t="shared" si="31"/>
        <v>-5.7951213574442599</v>
      </c>
      <c r="GS35" s="34">
        <f t="shared" si="32"/>
        <v>602.45955695146858</v>
      </c>
      <c r="GT35" s="56">
        <f t="shared" si="33"/>
        <v>691.59107304668123</v>
      </c>
      <c r="GU35" s="56">
        <f t="shared" si="33"/>
        <v>173.27839982518981</v>
      </c>
      <c r="GV35" s="34">
        <f t="shared" si="34"/>
        <v>712.96817331760212</v>
      </c>
      <c r="GW35" s="30">
        <f t="shared" si="35"/>
        <v>517.78292118712227</v>
      </c>
      <c r="GX35" s="30">
        <f t="shared" si="3"/>
        <v>-190.75498988156184</v>
      </c>
      <c r="GY35" s="34">
        <f t="shared" si="36"/>
        <v>551.80306236716774</v>
      </c>
      <c r="GZ35" s="34">
        <f t="shared" si="4"/>
        <v>604.40005276712509</v>
      </c>
      <c r="HA35" s="34">
        <f t="shared" si="4"/>
        <v>-17.289010509173636</v>
      </c>
      <c r="HB35" s="34">
        <f t="shared" si="37"/>
        <v>604.64728037864347</v>
      </c>
      <c r="HC35" s="33">
        <f t="shared" si="5"/>
        <v>0.86500938540441985</v>
      </c>
      <c r="HD35" s="33">
        <f t="shared" si="6"/>
        <v>-0.29086667468327732</v>
      </c>
      <c r="HE35" s="33">
        <f t="shared" si="38"/>
        <v>0.91260323212173622</v>
      </c>
      <c r="HF35" s="33">
        <f t="shared" si="39"/>
        <v>0.651864556046724</v>
      </c>
      <c r="HG35" s="33">
        <f t="shared" si="7"/>
        <v>-0.41799710137135676</v>
      </c>
      <c r="HH35" s="33">
        <f t="shared" si="40"/>
        <v>0.77437005119312885</v>
      </c>
      <c r="HI35" s="30">
        <f t="shared" si="54"/>
        <v>0.64525214027165445</v>
      </c>
      <c r="HJ35" s="30">
        <f t="shared" si="41"/>
        <v>-0.42228479350265791</v>
      </c>
      <c r="HK35" s="33">
        <f t="shared" si="42"/>
        <v>0.77115158778850557</v>
      </c>
      <c r="HL35" s="61">
        <f t="shared" si="43"/>
        <v>0.63856097527379285</v>
      </c>
      <c r="HM35" s="61">
        <f t="shared" si="44"/>
        <v>-0.42644583088021465</v>
      </c>
      <c r="HN35" s="33">
        <f t="shared" si="45"/>
        <v>0.76786467936592451</v>
      </c>
      <c r="HO35" s="30">
        <f t="shared" si="46"/>
        <v>-2.2210290347855075</v>
      </c>
      <c r="HP35" s="30">
        <f t="shared" si="47"/>
        <v>-9.8857596111745494E-2</v>
      </c>
      <c r="HQ35" s="29">
        <v>40</v>
      </c>
      <c r="HR35" s="30">
        <v>251.32741228718345</v>
      </c>
      <c r="HS35" s="30">
        <f t="shared" si="48"/>
        <v>-2.122171438673762</v>
      </c>
      <c r="HT35" s="30">
        <f t="shared" si="49"/>
        <v>-2.2943061770465114</v>
      </c>
      <c r="HU35" s="30">
        <f t="shared" si="50"/>
        <v>-0.1721347383727494</v>
      </c>
      <c r="HV35" s="30">
        <f t="shared" si="8"/>
        <v>17.643816716274181</v>
      </c>
      <c r="HW35" s="30">
        <f t="shared" si="9"/>
        <v>17.790465927170651</v>
      </c>
      <c r="HX35" s="73">
        <f t="shared" si="10"/>
        <v>4.6472803786434724</v>
      </c>
      <c r="HY35" s="30">
        <f t="shared" si="51"/>
        <v>17.717093858535186</v>
      </c>
      <c r="HZ35" s="74">
        <f t="shared" si="52"/>
        <v>-0.14664921089647009</v>
      </c>
    </row>
    <row r="36" spans="1:234" ht="15" customHeight="1">
      <c r="A36" s="12"/>
      <c r="B36" s="12"/>
      <c r="AI36" s="93" t="s">
        <v>54</v>
      </c>
      <c r="AJ36" s="136">
        <f t="shared" si="55"/>
        <v>5</v>
      </c>
      <c r="AK36" s="136"/>
      <c r="AL36" s="136"/>
      <c r="AM36" s="136"/>
      <c r="AN36" s="30" t="s">
        <v>43</v>
      </c>
      <c r="AW36" s="137" t="s">
        <v>18</v>
      </c>
      <c r="AX36" s="137"/>
      <c r="AY36" s="105" t="s">
        <v>22</v>
      </c>
      <c r="AZ36" s="105"/>
      <c r="BA36" s="105"/>
      <c r="BB36" s="105"/>
      <c r="BC36" s="105"/>
      <c r="BD36" s="105"/>
      <c r="BE36" s="104" t="s">
        <v>33</v>
      </c>
      <c r="BF36" s="105" t="s">
        <v>87</v>
      </c>
      <c r="BG36" s="105"/>
      <c r="BH36" s="105"/>
      <c r="BI36" s="105"/>
      <c r="BJ36" s="105"/>
      <c r="BK36" s="105"/>
      <c r="BL36" s="105"/>
      <c r="BM36" s="105"/>
      <c r="BN36" s="104" t="s">
        <v>33</v>
      </c>
      <c r="BO36" s="105" t="s">
        <v>301</v>
      </c>
      <c r="BP36" s="105"/>
      <c r="BQ36" s="105"/>
      <c r="BR36" s="105"/>
      <c r="BS36" s="105"/>
      <c r="BT36" s="105"/>
      <c r="BU36" s="105"/>
      <c r="BV36" s="105"/>
      <c r="BW36" s="107" t="s">
        <v>91</v>
      </c>
      <c r="BX36" s="163" t="s">
        <v>302</v>
      </c>
      <c r="BY36" s="163"/>
      <c r="BZ36" s="163"/>
      <c r="CA36" s="163"/>
      <c r="CB36" s="163"/>
      <c r="CC36" s="163"/>
      <c r="CD36" s="163"/>
      <c r="CE36" s="163"/>
      <c r="CF36" s="104" t="s">
        <v>33</v>
      </c>
      <c r="CG36" s="106">
        <f>AJ31^2*(2*AJ31+AJ36)</f>
        <v>433800000</v>
      </c>
      <c r="CH36" s="106"/>
      <c r="CI36" s="106"/>
      <c r="CJ36" s="106"/>
      <c r="CK36" s="107" t="s">
        <v>91</v>
      </c>
      <c r="CL36" s="106">
        <f>-(AJ31^2*AJ43*AJ38)</f>
        <v>-1017876.0197630929</v>
      </c>
      <c r="CM36" s="106"/>
      <c r="CN36" s="106"/>
      <c r="CO36" s="106"/>
      <c r="CP36" s="104" t="s">
        <v>33</v>
      </c>
      <c r="CQ36" s="151">
        <f>CG36/CG37</f>
        <v>298.75354188170991</v>
      </c>
      <c r="CR36" s="152"/>
      <c r="CS36" s="152"/>
      <c r="CT36" s="153"/>
      <c r="CU36" s="115" t="s">
        <v>91</v>
      </c>
      <c r="CV36" s="151">
        <f>CL36/CL37</f>
        <v>-0.70100061341789155</v>
      </c>
      <c r="CW36" s="152"/>
      <c r="CX36" s="152"/>
      <c r="CY36" s="153"/>
      <c r="CZ36" s="108" t="s">
        <v>33</v>
      </c>
      <c r="DA36" s="108" t="s">
        <v>102</v>
      </c>
      <c r="DB36" s="108"/>
      <c r="DC36" s="115" t="s">
        <v>96</v>
      </c>
      <c r="DD36" s="108" t="s">
        <v>103</v>
      </c>
      <c r="DE36" s="108"/>
      <c r="FO36" s="93" t="s">
        <v>232</v>
      </c>
      <c r="FP36" s="30">
        <f t="shared" si="11"/>
        <v>606.94701959405222</v>
      </c>
      <c r="FT36" s="29">
        <v>50</v>
      </c>
      <c r="FU36" s="27">
        <f t="shared" si="12"/>
        <v>314.15926535897933</v>
      </c>
      <c r="FV36" s="30">
        <f t="shared" si="53"/>
        <v>119.13031854181718</v>
      </c>
      <c r="FW36" s="30">
        <f t="shared" si="13"/>
        <v>199.39479184045121</v>
      </c>
      <c r="FX36" s="34">
        <f t="shared" si="14"/>
        <v>232.27207281326719</v>
      </c>
      <c r="FY36" s="30">
        <f t="shared" si="15"/>
        <v>185.88938618363687</v>
      </c>
      <c r="FZ36" s="30">
        <f t="shared" si="16"/>
        <v>-99.697395920225603</v>
      </c>
      <c r="GA36" s="34">
        <f t="shared" si="17"/>
        <v>210.9370395378761</v>
      </c>
      <c r="GB36" s="34">
        <f t="shared" si="18"/>
        <v>2.5718577044515962</v>
      </c>
      <c r="GC36" s="34">
        <f t="shared" si="19"/>
        <v>7.0090799858719635</v>
      </c>
      <c r="GD36" s="34">
        <f t="shared" si="20"/>
        <v>7.4660333712285238</v>
      </c>
      <c r="GE36" s="55">
        <f t="shared" si="21"/>
        <v>298.71407114777418</v>
      </c>
      <c r="GF36" s="55">
        <f t="shared" si="22"/>
        <v>-3.5045399929359817</v>
      </c>
      <c r="GG36" s="34">
        <f t="shared" si="23"/>
        <v>298.73462822752839</v>
      </c>
      <c r="GH36" s="30">
        <f t="shared" si="24"/>
        <v>307.10595211628953</v>
      </c>
      <c r="GI36" s="30">
        <f t="shared" si="0"/>
        <v>-766.38476877527376</v>
      </c>
      <c r="GJ36" s="34">
        <f t="shared" si="25"/>
        <v>825.62684042852106</v>
      </c>
      <c r="GK36" s="34">
        <f t="shared" si="26"/>
        <v>298.71407114777418</v>
      </c>
      <c r="GL36" s="34">
        <f t="shared" si="27"/>
        <v>-25468.295434696192</v>
      </c>
      <c r="GM36" s="34">
        <f t="shared" si="28"/>
        <v>25470.047162211315</v>
      </c>
      <c r="GN36" s="55">
        <f t="shared" si="1"/>
        <v>602.57185770445165</v>
      </c>
      <c r="GO36" s="55">
        <f t="shared" si="2"/>
        <v>7.0090799858719635</v>
      </c>
      <c r="GP36" s="34">
        <f t="shared" si="29"/>
        <v>602.61262092628147</v>
      </c>
      <c r="GQ36" s="55">
        <f t="shared" si="30"/>
        <v>602.39909874342368</v>
      </c>
      <c r="GR36" s="55">
        <f t="shared" si="31"/>
        <v>-7.2434603696687905</v>
      </c>
      <c r="GS36" s="34">
        <f t="shared" si="32"/>
        <v>602.4426461373863</v>
      </c>
      <c r="GT36" s="56">
        <f t="shared" si="33"/>
        <v>724.10127498969246</v>
      </c>
      <c r="GU36" s="56">
        <f t="shared" si="33"/>
        <v>199.16041145665437</v>
      </c>
      <c r="GV36" s="34">
        <f t="shared" si="34"/>
        <v>750.99102919627614</v>
      </c>
      <c r="GW36" s="30">
        <f t="shared" si="35"/>
        <v>481.39430572123553</v>
      </c>
      <c r="GX36" s="30">
        <f t="shared" si="3"/>
        <v>-214.03871010335098</v>
      </c>
      <c r="GY36" s="34">
        <f t="shared" si="36"/>
        <v>526.83303522419385</v>
      </c>
      <c r="GZ36" s="34">
        <f t="shared" si="4"/>
        <v>600.52462426305271</v>
      </c>
      <c r="HA36" s="34">
        <f t="shared" si="4"/>
        <v>-14.643918262899774</v>
      </c>
      <c r="HB36" s="34">
        <f t="shared" si="37"/>
        <v>600.70314522929812</v>
      </c>
      <c r="HC36" s="33">
        <f t="shared" si="5"/>
        <v>0.80983273200837591</v>
      </c>
      <c r="HD36" s="33">
        <f t="shared" si="6"/>
        <v>-0.33667159946573166</v>
      </c>
      <c r="HE36" s="33">
        <f t="shared" si="38"/>
        <v>0.87702726281396981</v>
      </c>
      <c r="HF36" s="33">
        <f t="shared" si="39"/>
        <v>0.55692061104512691</v>
      </c>
      <c r="HG36" s="33">
        <f t="shared" si="7"/>
        <v>-0.43472218232605486</v>
      </c>
      <c r="HH36" s="33">
        <f t="shared" si="40"/>
        <v>0.70650119802673028</v>
      </c>
      <c r="HI36" s="30">
        <f t="shared" si="54"/>
        <v>0.54951820066771717</v>
      </c>
      <c r="HJ36" s="30">
        <f t="shared" si="41"/>
        <v>-0.43932933323927414</v>
      </c>
      <c r="HK36" s="33">
        <f t="shared" si="42"/>
        <v>0.70354851709711586</v>
      </c>
      <c r="HL36" s="61">
        <f t="shared" si="43"/>
        <v>0.54201100649849987</v>
      </c>
      <c r="HM36" s="61">
        <f t="shared" si="44"/>
        <v>-0.44375885634620471</v>
      </c>
      <c r="HN36" s="33">
        <f t="shared" si="45"/>
        <v>0.70049828961333549</v>
      </c>
      <c r="HO36" s="30">
        <f t="shared" si="46"/>
        <v>-3.0177419474773974</v>
      </c>
      <c r="HP36" s="30">
        <f t="shared" si="47"/>
        <v>-4.8377559456305175E-2</v>
      </c>
      <c r="HQ36" s="29">
        <v>50</v>
      </c>
      <c r="HR36" s="30">
        <v>314.15926535897933</v>
      </c>
      <c r="HS36" s="30">
        <f t="shared" si="48"/>
        <v>-2.9693643880210923</v>
      </c>
      <c r="HT36" s="30">
        <f t="shared" si="49"/>
        <v>-3.0918584156268638</v>
      </c>
      <c r="HU36" s="30">
        <f t="shared" si="50"/>
        <v>-0.12249402760577155</v>
      </c>
      <c r="HV36" s="30">
        <f t="shared" si="8"/>
        <v>16.846264477693829</v>
      </c>
      <c r="HW36" s="30">
        <f t="shared" si="9"/>
        <v>16.943272977823323</v>
      </c>
      <c r="HX36" s="73">
        <f t="shared" si="10"/>
        <v>0.70314522929811574</v>
      </c>
      <c r="HY36" s="30">
        <f t="shared" si="51"/>
        <v>16.920380945843295</v>
      </c>
      <c r="HZ36" s="74">
        <f t="shared" si="52"/>
        <v>-9.7008500129494024E-2</v>
      </c>
    </row>
    <row r="37" spans="1:234" ht="15" customHeight="1" thickBot="1">
      <c r="AI37" s="93" t="s">
        <v>44</v>
      </c>
      <c r="AJ37" s="136">
        <f t="shared" si="55"/>
        <v>1.71882</v>
      </c>
      <c r="AK37" s="136"/>
      <c r="AL37" s="136"/>
      <c r="AM37" s="136"/>
      <c r="AN37" s="30" t="s">
        <v>46</v>
      </c>
      <c r="AW37" s="137"/>
      <c r="AX37" s="137"/>
      <c r="AY37" s="104" t="s">
        <v>21</v>
      </c>
      <c r="AZ37" s="104"/>
      <c r="BA37" s="104"/>
      <c r="BB37" s="104"/>
      <c r="BC37" s="104"/>
      <c r="BD37" s="104"/>
      <c r="BE37" s="104"/>
      <c r="BF37" s="111" t="s">
        <v>37</v>
      </c>
      <c r="BG37" s="111"/>
      <c r="BH37" s="111"/>
      <c r="BI37" s="111"/>
      <c r="BJ37" s="111"/>
      <c r="BK37" s="111"/>
      <c r="BL37" s="111"/>
      <c r="BM37" s="111"/>
      <c r="BN37" s="104"/>
      <c r="BO37" s="111" t="s">
        <v>37</v>
      </c>
      <c r="BP37" s="111"/>
      <c r="BQ37" s="111"/>
      <c r="BR37" s="111"/>
      <c r="BS37" s="111"/>
      <c r="BT37" s="111"/>
      <c r="BU37" s="111"/>
      <c r="BV37" s="111"/>
      <c r="BW37" s="104"/>
      <c r="BX37" s="111" t="s">
        <v>37</v>
      </c>
      <c r="BY37" s="111"/>
      <c r="BZ37" s="111"/>
      <c r="CA37" s="111"/>
      <c r="CB37" s="111"/>
      <c r="CC37" s="111"/>
      <c r="CD37" s="111"/>
      <c r="CE37" s="111"/>
      <c r="CF37" s="104"/>
      <c r="CG37" s="108">
        <f>DD35</f>
        <v>1452032.9943795649</v>
      </c>
      <c r="CH37" s="108"/>
      <c r="CI37" s="108"/>
      <c r="CJ37" s="108"/>
      <c r="CK37" s="104"/>
      <c r="CL37" s="108">
        <f>CG37</f>
        <v>1452032.9943795649</v>
      </c>
      <c r="CM37" s="108"/>
      <c r="CN37" s="108"/>
      <c r="CO37" s="108"/>
      <c r="CP37" s="104"/>
      <c r="CQ37" s="154"/>
      <c r="CR37" s="116"/>
      <c r="CS37" s="116"/>
      <c r="CT37" s="156"/>
      <c r="CU37" s="116"/>
      <c r="CV37" s="159"/>
      <c r="CW37" s="155"/>
      <c r="CX37" s="155"/>
      <c r="CY37" s="156"/>
      <c r="CZ37" s="108"/>
      <c r="DA37" s="108"/>
      <c r="DB37" s="108"/>
      <c r="DC37" s="116"/>
      <c r="DD37" s="108"/>
      <c r="DE37" s="108"/>
      <c r="FO37" s="93" t="s">
        <v>218</v>
      </c>
      <c r="FP37" s="30">
        <f>SQRT(FP43^2+FR43^2)</f>
        <v>0.97627180421108095</v>
      </c>
      <c r="FT37" s="29">
        <v>60</v>
      </c>
      <c r="FU37" s="27">
        <f t="shared" si="12"/>
        <v>376.99111843077515</v>
      </c>
      <c r="FV37" s="30">
        <f t="shared" si="53"/>
        <v>152.40253252091264</v>
      </c>
      <c r="FW37" s="30">
        <f t="shared" si="13"/>
        <v>217.86002783319677</v>
      </c>
      <c r="FX37" s="34">
        <f t="shared" si="14"/>
        <v>265.87501508466175</v>
      </c>
      <c r="FY37" s="30">
        <f t="shared" si="15"/>
        <v>169.25327919408915</v>
      </c>
      <c r="FZ37" s="30">
        <f t="shared" si="16"/>
        <v>-108.93001391659838</v>
      </c>
      <c r="GA37" s="34">
        <f t="shared" si="17"/>
        <v>201.27697446509526</v>
      </c>
      <c r="GB37" s="34">
        <f t="shared" si="18"/>
        <v>2.6080322398129017</v>
      </c>
      <c r="GC37" s="34">
        <f t="shared" si="19"/>
        <v>8.4103866996152306</v>
      </c>
      <c r="GD37" s="34">
        <f t="shared" si="20"/>
        <v>8.8054776475196554</v>
      </c>
      <c r="GE37" s="55">
        <f t="shared" si="21"/>
        <v>298.69598388009354</v>
      </c>
      <c r="GF37" s="55">
        <f t="shared" si="22"/>
        <v>-4.2051933498076153</v>
      </c>
      <c r="GG37" s="34">
        <f t="shared" si="23"/>
        <v>298.72558383440543</v>
      </c>
      <c r="GH37" s="30">
        <f t="shared" si="24"/>
        <v>290.46848701769062</v>
      </c>
      <c r="GI37" s="30">
        <f t="shared" si="0"/>
        <v>-664.50282463668384</v>
      </c>
      <c r="GJ37" s="34">
        <f t="shared" si="25"/>
        <v>725.21441374291351</v>
      </c>
      <c r="GK37" s="34">
        <f t="shared" si="26"/>
        <v>298.69598388009354</v>
      </c>
      <c r="GL37" s="34">
        <f t="shared" si="27"/>
        <v>-21224.864272269187</v>
      </c>
      <c r="GM37" s="34">
        <f t="shared" si="28"/>
        <v>21226.965931734925</v>
      </c>
      <c r="GN37" s="55">
        <f t="shared" si="1"/>
        <v>602.60803223981293</v>
      </c>
      <c r="GO37" s="55">
        <f t="shared" si="2"/>
        <v>8.4103866996152306</v>
      </c>
      <c r="GP37" s="34">
        <f t="shared" si="29"/>
        <v>602.66671977501505</v>
      </c>
      <c r="GQ37" s="55">
        <f t="shared" si="30"/>
        <v>602.35927856856154</v>
      </c>
      <c r="GR37" s="55">
        <f t="shared" si="31"/>
        <v>-8.6915053125728416</v>
      </c>
      <c r="GS37" s="34">
        <f t="shared" si="32"/>
        <v>602.42198062673344</v>
      </c>
      <c r="GT37" s="56">
        <f t="shared" si="33"/>
        <v>757.36984332928705</v>
      </c>
      <c r="GU37" s="56">
        <f t="shared" si="33"/>
        <v>217.57890922023915</v>
      </c>
      <c r="GV37" s="34">
        <f t="shared" si="34"/>
        <v>788.00359220126518</v>
      </c>
      <c r="GW37" s="30">
        <f t="shared" si="35"/>
        <v>445.93634111645309</v>
      </c>
      <c r="GX37" s="30">
        <f t="shared" si="3"/>
        <v>-229.78255428088204</v>
      </c>
      <c r="GY37" s="34">
        <f t="shared" si="36"/>
        <v>501.65649859258889</v>
      </c>
      <c r="GZ37" s="34">
        <f t="shared" si="4"/>
        <v>598.33887363736574</v>
      </c>
      <c r="HA37" s="34">
        <f t="shared" si="4"/>
        <v>-11.922526447685271</v>
      </c>
      <c r="HB37" s="34">
        <f t="shared" si="37"/>
        <v>598.45764623950402</v>
      </c>
      <c r="HC37" s="33">
        <f t="shared" si="5"/>
        <v>0.75264405073729213</v>
      </c>
      <c r="HD37" s="33">
        <f t="shared" si="6"/>
        <v>-0.36903692106439856</v>
      </c>
      <c r="HE37" s="33">
        <f t="shared" si="38"/>
        <v>0.83824895837628732</v>
      </c>
      <c r="HF37" s="33">
        <f t="shared" si="39"/>
        <v>0.47692950256016847</v>
      </c>
      <c r="HG37" s="33">
        <f t="shared" si="7"/>
        <v>-0.43206982665223881</v>
      </c>
      <c r="HH37" s="33">
        <f t="shared" si="40"/>
        <v>0.64354182887795675</v>
      </c>
      <c r="HI37" s="30">
        <f t="shared" si="54"/>
        <v>0.46886893398118384</v>
      </c>
      <c r="HJ37" s="30">
        <f t="shared" si="41"/>
        <v>-0.43684128360786861</v>
      </c>
      <c r="HK37" s="33">
        <f t="shared" si="42"/>
        <v>0.64083413167279257</v>
      </c>
      <c r="HL37" s="61">
        <f t="shared" si="43"/>
        <v>0.46067952506904963</v>
      </c>
      <c r="HM37" s="61">
        <f t="shared" si="44"/>
        <v>-0.44138021547196743</v>
      </c>
      <c r="HN37" s="33">
        <f t="shared" si="45"/>
        <v>0.63799852619573161</v>
      </c>
      <c r="HO37" s="30">
        <f t="shared" si="46"/>
        <v>-3.8284643921152686</v>
      </c>
      <c r="HP37" s="30">
        <f t="shared" si="47"/>
        <v>-1.334338542653235E-2</v>
      </c>
      <c r="HQ37" s="29">
        <v>60</v>
      </c>
      <c r="HR37" s="30">
        <v>376.99111843077515</v>
      </c>
      <c r="HS37" s="30">
        <f t="shared" si="48"/>
        <v>-3.8151210066887362</v>
      </c>
      <c r="HT37" s="30">
        <f t="shared" si="49"/>
        <v>-3.9036064903353882</v>
      </c>
      <c r="HU37" s="30">
        <f t="shared" si="50"/>
        <v>-8.8485483646651986E-2</v>
      </c>
      <c r="HV37" s="30">
        <f t="shared" si="8"/>
        <v>16.034516402985304</v>
      </c>
      <c r="HW37" s="30">
        <f t="shared" si="9"/>
        <v>16.097516359155676</v>
      </c>
      <c r="HX37" s="73">
        <f t="shared" si="10"/>
        <v>-1.5423537604959847</v>
      </c>
      <c r="HY37" s="30">
        <f t="shared" si="51"/>
        <v>16.109658501205423</v>
      </c>
      <c r="HZ37" s="74">
        <f t="shared" si="52"/>
        <v>-6.2999956170372684E-2</v>
      </c>
    </row>
    <row r="38" spans="1:234" ht="15" customHeight="1">
      <c r="M38" s="96"/>
      <c r="N38" s="96"/>
      <c r="O38" s="96"/>
      <c r="P38" s="89"/>
      <c r="AE38" s="89"/>
      <c r="AI38" s="93" t="s">
        <v>45</v>
      </c>
      <c r="AJ38" s="136">
        <f t="shared" si="55"/>
        <v>4.4999999999999998E-2</v>
      </c>
      <c r="AK38" s="136"/>
      <c r="AL38" s="136"/>
      <c r="AM38" s="136"/>
      <c r="AN38" s="30" t="s">
        <v>46</v>
      </c>
      <c r="AW38" s="104" t="s">
        <v>25</v>
      </c>
      <c r="AX38" s="104"/>
      <c r="AY38" s="164" t="s">
        <v>71</v>
      </c>
      <c r="AZ38" s="164"/>
      <c r="BA38" s="160" t="s">
        <v>26</v>
      </c>
      <c r="BB38" s="160"/>
      <c r="BC38" s="141" t="s">
        <v>28</v>
      </c>
      <c r="BD38" s="141"/>
      <c r="BE38" s="141"/>
      <c r="BF38" s="141"/>
      <c r="BG38" s="141"/>
      <c r="BH38" s="141"/>
      <c r="BI38" s="104" t="s">
        <v>33</v>
      </c>
      <c r="BJ38" s="116" t="s">
        <v>71</v>
      </c>
      <c r="BK38" s="109" t="s">
        <v>30</v>
      </c>
      <c r="BL38" s="108" t="s">
        <v>8</v>
      </c>
      <c r="BM38" s="109" t="s">
        <v>30</v>
      </c>
      <c r="BN38" s="106" t="s">
        <v>9</v>
      </c>
      <c r="BO38" s="106"/>
      <c r="BP38" s="106"/>
      <c r="BQ38" s="106"/>
      <c r="BR38" s="104" t="s">
        <v>33</v>
      </c>
      <c r="BS38" s="164" t="s">
        <v>71</v>
      </c>
      <c r="BT38" s="160" t="s">
        <v>30</v>
      </c>
      <c r="BU38" s="142" t="s">
        <v>8</v>
      </c>
      <c r="BV38" s="160" t="s">
        <v>30</v>
      </c>
      <c r="BW38" s="141" t="s">
        <v>9</v>
      </c>
      <c r="BX38" s="141"/>
      <c r="BY38" s="141"/>
      <c r="BZ38" s="141"/>
      <c r="CA38" s="141"/>
      <c r="CB38" s="141"/>
      <c r="CC38" s="107" t="s">
        <v>91</v>
      </c>
      <c r="CD38" s="161" t="s">
        <v>111</v>
      </c>
      <c r="CE38" s="141"/>
      <c r="CF38" s="141"/>
      <c r="CG38" s="141"/>
      <c r="CH38" s="141"/>
      <c r="CI38" s="141"/>
      <c r="CJ38" s="104" t="s">
        <v>33</v>
      </c>
      <c r="CK38" s="151">
        <f>CU32+AJ32+AJ33/(1+(AJ33*AJ43*AP39)^2)</f>
        <v>357.96026811092923</v>
      </c>
      <c r="CL38" s="152"/>
      <c r="CM38" s="152"/>
      <c r="CN38" s="153"/>
      <c r="CO38" s="109" t="s">
        <v>91</v>
      </c>
      <c r="CP38" s="151">
        <f>CZ32-(AJ33^2*AJ43*AP39)/(1+(AJ33*AJ43*AP39)^2)</f>
        <v>-3358.8198005875734</v>
      </c>
      <c r="CQ38" s="152"/>
      <c r="CR38" s="152"/>
      <c r="CS38" s="153"/>
      <c r="CT38" s="108" t="s">
        <v>33</v>
      </c>
      <c r="CU38" s="108" t="s">
        <v>112</v>
      </c>
      <c r="CV38" s="108"/>
      <c r="CW38" s="115" t="s">
        <v>96</v>
      </c>
      <c r="CX38" s="108" t="s">
        <v>113</v>
      </c>
      <c r="CY38" s="108"/>
      <c r="CZ38" s="2"/>
      <c r="DA38" s="2"/>
      <c r="DB38" s="2"/>
      <c r="DC38" s="2"/>
      <c r="DD38" s="1"/>
      <c r="DE38" s="1"/>
      <c r="DF38" s="2"/>
      <c r="DG38" s="2"/>
      <c r="DH38" s="2"/>
      <c r="DI38" s="2"/>
      <c r="DJ38" s="2"/>
      <c r="FO38" s="93" t="s">
        <v>219</v>
      </c>
      <c r="FP38" s="30">
        <f>SQRT(FP44^2+FR44^2)</f>
        <v>0.94520931786384721</v>
      </c>
      <c r="FT38" s="29">
        <v>70</v>
      </c>
      <c r="FU38" s="27">
        <f t="shared" si="12"/>
        <v>439.82297150257102</v>
      </c>
      <c r="FV38" s="30">
        <f t="shared" si="53"/>
        <v>184.78064080867503</v>
      </c>
      <c r="FW38" s="30">
        <f t="shared" si="13"/>
        <v>229.85870192038894</v>
      </c>
      <c r="FX38" s="34">
        <f t="shared" si="14"/>
        <v>294.92186773142271</v>
      </c>
      <c r="FY38" s="30">
        <f t="shared" si="15"/>
        <v>153.06422505020794</v>
      </c>
      <c r="FZ38" s="30">
        <f t="shared" si="16"/>
        <v>-114.92935096019447</v>
      </c>
      <c r="GA38" s="34">
        <f t="shared" si="17"/>
        <v>191.40901938611006</v>
      </c>
      <c r="GB38" s="34">
        <f t="shared" si="18"/>
        <v>2.6507783158937079</v>
      </c>
      <c r="GC38" s="34">
        <f t="shared" si="19"/>
        <v>9.8114157151562864</v>
      </c>
      <c r="GD38" s="34">
        <f t="shared" si="20"/>
        <v>10.163193593336104</v>
      </c>
      <c r="GE38" s="55">
        <f t="shared" si="21"/>
        <v>298.67461084205314</v>
      </c>
      <c r="GF38" s="55">
        <f t="shared" si="22"/>
        <v>-4.9057078575781432</v>
      </c>
      <c r="GG38" s="34">
        <f t="shared" si="23"/>
        <v>298.71489606518753</v>
      </c>
      <c r="GH38" s="30">
        <f t="shared" si="24"/>
        <v>274.27861397688611</v>
      </c>
      <c r="GI38" s="30">
        <f t="shared" si="0"/>
        <v>-591.13461729559572</v>
      </c>
      <c r="GJ38" s="34">
        <f t="shared" si="25"/>
        <v>651.66624421577353</v>
      </c>
      <c r="GK38" s="34">
        <f t="shared" si="26"/>
        <v>298.67461084205314</v>
      </c>
      <c r="GL38" s="34">
        <f t="shared" si="27"/>
        <v>-18194.042061217046</v>
      </c>
      <c r="GM38" s="34">
        <f t="shared" si="28"/>
        <v>18196.493427264955</v>
      </c>
      <c r="GN38" s="55">
        <f t="shared" si="1"/>
        <v>602.65077831589372</v>
      </c>
      <c r="GO38" s="55">
        <f t="shared" si="2"/>
        <v>9.8114157151562864</v>
      </c>
      <c r="GP38" s="34">
        <f t="shared" si="29"/>
        <v>602.73064007323205</v>
      </c>
      <c r="GQ38" s="55">
        <f t="shared" si="30"/>
        <v>602.31222785837383</v>
      </c>
      <c r="GR38" s="55">
        <f t="shared" si="31"/>
        <v>-10.139197520894102</v>
      </c>
      <c r="GS38" s="34">
        <f t="shared" si="32"/>
        <v>602.39756237395693</v>
      </c>
      <c r="GT38" s="56">
        <f t="shared" si="33"/>
        <v>789.74364698294255</v>
      </c>
      <c r="GU38" s="56">
        <f t="shared" si="33"/>
        <v>229.53092011465114</v>
      </c>
      <c r="GV38" s="34">
        <f t="shared" si="34"/>
        <v>822.42292723306105</v>
      </c>
      <c r="GW38" s="30">
        <f t="shared" si="35"/>
        <v>412.4600008582612</v>
      </c>
      <c r="GX38" s="30">
        <f t="shared" si="3"/>
        <v>-239.41446902398849</v>
      </c>
      <c r="GY38" s="34">
        <f t="shared" si="36"/>
        <v>476.90936275778353</v>
      </c>
      <c r="GZ38" s="34">
        <f t="shared" si="4"/>
        <v>597.2406416669362</v>
      </c>
      <c r="HA38" s="34">
        <f t="shared" si="4"/>
        <v>-9.5557671035995497</v>
      </c>
      <c r="HB38" s="34">
        <f t="shared" si="37"/>
        <v>597.31708224666738</v>
      </c>
      <c r="HC38" s="33">
        <f t="shared" si="5"/>
        <v>0.6968448372825452</v>
      </c>
      <c r="HD38" s="33">
        <f t="shared" si="6"/>
        <v>-0.38971825728727238</v>
      </c>
      <c r="HE38" s="33">
        <f t="shared" si="38"/>
        <v>0.79841909252620302</v>
      </c>
      <c r="HF38" s="33">
        <f t="shared" si="39"/>
        <v>0.41198745423369199</v>
      </c>
      <c r="HG38" s="33">
        <f t="shared" si="7"/>
        <v>-0.4185629124809917</v>
      </c>
      <c r="HH38" s="33">
        <f t="shared" si="40"/>
        <v>0.58730620135541634</v>
      </c>
      <c r="HI38" s="30">
        <f t="shared" si="54"/>
        <v>0.40339652951650523</v>
      </c>
      <c r="HJ38" s="30">
        <f t="shared" si="41"/>
        <v>-0.42341523999446107</v>
      </c>
      <c r="HK38" s="33">
        <f t="shared" si="42"/>
        <v>0.58481554825904525</v>
      </c>
      <c r="HL38" s="61">
        <f t="shared" si="43"/>
        <v>0.39465451033554233</v>
      </c>
      <c r="HM38" s="61">
        <f t="shared" si="44"/>
        <v>-0.42797798118207114</v>
      </c>
      <c r="HN38" s="33">
        <f t="shared" si="45"/>
        <v>0.58216607158513445</v>
      </c>
      <c r="HO38" s="30">
        <f t="shared" si="46"/>
        <v>-4.6227082685071519</v>
      </c>
      <c r="HP38" s="30">
        <f t="shared" si="47"/>
        <v>1.0460220612612758E-2</v>
      </c>
      <c r="HQ38" s="29">
        <v>70</v>
      </c>
      <c r="HR38" s="30">
        <v>439.82297150257102</v>
      </c>
      <c r="HS38" s="30">
        <f t="shared" si="48"/>
        <v>-4.6331684891197646</v>
      </c>
      <c r="HT38" s="30">
        <f t="shared" si="49"/>
        <v>-4.6990621735030862</v>
      </c>
      <c r="HU38" s="30">
        <f t="shared" si="50"/>
        <v>-6.5893684383321549E-2</v>
      </c>
      <c r="HV38" s="30">
        <f t="shared" si="8"/>
        <v>15.239060719817605</v>
      </c>
      <c r="HW38" s="30">
        <f t="shared" si="9"/>
        <v>15.27946887672465</v>
      </c>
      <c r="HX38" s="73">
        <f t="shared" si="10"/>
        <v>-2.6829177533326174</v>
      </c>
      <c r="HY38" s="30">
        <f t="shared" si="51"/>
        <v>15.31541462481354</v>
      </c>
      <c r="HZ38" s="74">
        <f t="shared" si="52"/>
        <v>-4.0408156907044912E-2</v>
      </c>
    </row>
    <row r="39" spans="1:234" ht="15" customHeight="1" thickBot="1">
      <c r="AI39" s="93" t="s">
        <v>47</v>
      </c>
      <c r="AJ39" s="136">
        <f>FP20</f>
        <v>4.7744999999999997</v>
      </c>
      <c r="AK39" s="136"/>
      <c r="AL39" s="136"/>
      <c r="AM39" s="136"/>
      <c r="AN39" s="90" t="s">
        <v>69</v>
      </c>
      <c r="AO39" s="90"/>
      <c r="AP39" s="104">
        <f>AJ39/1000000</f>
        <v>4.7744999999999998E-6</v>
      </c>
      <c r="AQ39" s="104"/>
      <c r="AR39" s="104"/>
      <c r="AS39" s="104"/>
      <c r="AT39" s="30" t="s">
        <v>70</v>
      </c>
      <c r="AW39" s="104"/>
      <c r="AX39" s="104"/>
      <c r="AY39" s="164"/>
      <c r="AZ39" s="164"/>
      <c r="BA39" s="160"/>
      <c r="BB39" s="160"/>
      <c r="BC39" s="142" t="s">
        <v>27</v>
      </c>
      <c r="BD39" s="142"/>
      <c r="BE39" s="142"/>
      <c r="BF39" s="142"/>
      <c r="BG39" s="142"/>
      <c r="BH39" s="142"/>
      <c r="BI39" s="104"/>
      <c r="BJ39" s="116"/>
      <c r="BK39" s="108"/>
      <c r="BL39" s="108"/>
      <c r="BM39" s="108"/>
      <c r="BN39" s="108" t="s">
        <v>67</v>
      </c>
      <c r="BO39" s="108"/>
      <c r="BP39" s="108"/>
      <c r="BQ39" s="108"/>
      <c r="BR39" s="104"/>
      <c r="BS39" s="164"/>
      <c r="BT39" s="142"/>
      <c r="BU39" s="142"/>
      <c r="BV39" s="142"/>
      <c r="BW39" s="158" t="s">
        <v>68</v>
      </c>
      <c r="BX39" s="158"/>
      <c r="BY39" s="158"/>
      <c r="BZ39" s="158"/>
      <c r="CA39" s="158"/>
      <c r="CB39" s="158"/>
      <c r="CC39" s="104"/>
      <c r="CD39" s="158" t="s">
        <v>68</v>
      </c>
      <c r="CE39" s="158"/>
      <c r="CF39" s="158"/>
      <c r="CG39" s="158"/>
      <c r="CH39" s="158"/>
      <c r="CI39" s="158"/>
      <c r="CJ39" s="104"/>
      <c r="CK39" s="159"/>
      <c r="CL39" s="155"/>
      <c r="CM39" s="155"/>
      <c r="CN39" s="156"/>
      <c r="CO39" s="108"/>
      <c r="CP39" s="159"/>
      <c r="CQ39" s="155"/>
      <c r="CR39" s="155"/>
      <c r="CS39" s="156"/>
      <c r="CT39" s="108"/>
      <c r="CU39" s="108"/>
      <c r="CV39" s="108"/>
      <c r="CW39" s="116"/>
      <c r="CX39" s="108"/>
      <c r="CY39" s="108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FO39" s="93" t="s">
        <v>220</v>
      </c>
      <c r="FP39" s="30">
        <f>SQRT(FP45^2+FR45^2)</f>
        <v>0.94128469629843237</v>
      </c>
      <c r="FT39" s="29">
        <v>80</v>
      </c>
      <c r="FU39" s="27">
        <f t="shared" si="12"/>
        <v>502.6548245743669</v>
      </c>
      <c r="FV39" s="30">
        <f t="shared" si="53"/>
        <v>215.20841101371207</v>
      </c>
      <c r="FW39" s="30">
        <f t="shared" si="13"/>
        <v>236.58491022700045</v>
      </c>
      <c r="FX39" s="34">
        <f t="shared" si="14"/>
        <v>319.82351370430018</v>
      </c>
      <c r="FY39" s="30">
        <f t="shared" si="15"/>
        <v>137.85033994768946</v>
      </c>
      <c r="FZ39" s="30">
        <f t="shared" si="16"/>
        <v>-118.29245511350022</v>
      </c>
      <c r="GA39" s="34">
        <f t="shared" si="17"/>
        <v>181.64751900445273</v>
      </c>
      <c r="GB39" s="34">
        <f t="shared" si="18"/>
        <v>2.7000931105618404</v>
      </c>
      <c r="GC39" s="34">
        <f t="shared" si="19"/>
        <v>11.212120826730978</v>
      </c>
      <c r="GD39" s="34">
        <f t="shared" si="20"/>
        <v>11.532656079105022</v>
      </c>
      <c r="GE39" s="55">
        <f t="shared" si="21"/>
        <v>298.64995344471907</v>
      </c>
      <c r="GF39" s="55">
        <f t="shared" si="22"/>
        <v>-5.6060604133654888</v>
      </c>
      <c r="GG39" s="34">
        <f t="shared" si="23"/>
        <v>298.702565449129</v>
      </c>
      <c r="GH39" s="30">
        <f t="shared" si="24"/>
        <v>259.06419737876837</v>
      </c>
      <c r="GI39" s="30">
        <f t="shared" si="0"/>
        <v>-534.97206315919107</v>
      </c>
      <c r="GJ39" s="34">
        <f t="shared" si="25"/>
        <v>594.39832328524199</v>
      </c>
      <c r="GK39" s="34">
        <f t="shared" si="26"/>
        <v>298.64995344471907</v>
      </c>
      <c r="GL39" s="34">
        <f t="shared" si="27"/>
        <v>-15921.100369602902</v>
      </c>
      <c r="GM39" s="34">
        <f t="shared" si="28"/>
        <v>15923.901179474275</v>
      </c>
      <c r="GN39" s="55">
        <f t="shared" si="1"/>
        <v>602.70009311056185</v>
      </c>
      <c r="GO39" s="55">
        <f t="shared" si="2"/>
        <v>11.212120826730978</v>
      </c>
      <c r="GP39" s="34">
        <f t="shared" si="29"/>
        <v>602.80437447725376</v>
      </c>
      <c r="GQ39" s="55">
        <f t="shared" si="30"/>
        <v>602.2579513531125</v>
      </c>
      <c r="GR39" s="55">
        <f t="shared" si="31"/>
        <v>-11.586478410211319</v>
      </c>
      <c r="GS39" s="34">
        <f t="shared" si="32"/>
        <v>602.36939368629805</v>
      </c>
      <c r="GT39" s="56">
        <f t="shared" si="33"/>
        <v>820.16645547738642</v>
      </c>
      <c r="GU39" s="56">
        <f t="shared" si="33"/>
        <v>236.21055264352009</v>
      </c>
      <c r="GV39" s="34">
        <f t="shared" si="34"/>
        <v>853.50362616130508</v>
      </c>
      <c r="GW39" s="30">
        <f t="shared" si="35"/>
        <v>381.57387159254569</v>
      </c>
      <c r="GX39" s="30">
        <f t="shared" si="3"/>
        <v>-244.22291624118469</v>
      </c>
      <c r="GY39" s="34">
        <f t="shared" si="36"/>
        <v>453.03802522467498</v>
      </c>
      <c r="GZ39" s="34">
        <f t="shared" si="4"/>
        <v>596.7822826062577</v>
      </c>
      <c r="HA39" s="34">
        <f t="shared" si="4"/>
        <v>-7.6380060141842421</v>
      </c>
      <c r="HB39" s="34">
        <f t="shared" si="37"/>
        <v>596.83115867773517</v>
      </c>
      <c r="HC39" s="33">
        <f t="shared" si="5"/>
        <v>0.64451744003811529</v>
      </c>
      <c r="HD39" s="33">
        <f t="shared" si="6"/>
        <v>-0.40098390172184661</v>
      </c>
      <c r="HE39" s="33">
        <f t="shared" si="38"/>
        <v>0.7590723417128048</v>
      </c>
      <c r="HF39" s="33">
        <f t="shared" si="39"/>
        <v>0.36008167285750298</v>
      </c>
      <c r="HG39" s="33">
        <f t="shared" si="7"/>
        <v>-0.39976617647701423</v>
      </c>
      <c r="HH39" s="33">
        <f t="shared" si="40"/>
        <v>0.53802584230026451</v>
      </c>
      <c r="HI39" s="30">
        <f t="shared" si="54"/>
        <v>0.351068406069105</v>
      </c>
      <c r="HJ39" s="30">
        <f t="shared" si="41"/>
        <v>-0.40466113991539282</v>
      </c>
      <c r="HK39" s="33">
        <f t="shared" si="42"/>
        <v>0.53572349574899847</v>
      </c>
      <c r="HL39" s="61">
        <f t="shared" si="43"/>
        <v>0.34188305658966817</v>
      </c>
      <c r="HM39" s="61">
        <f t="shared" si="44"/>
        <v>-0.40920836234728825</v>
      </c>
      <c r="HN39" s="33">
        <f t="shared" si="45"/>
        <v>0.53323119582226608</v>
      </c>
      <c r="HO39" s="30">
        <f t="shared" si="46"/>
        <v>-5.3839372785359245</v>
      </c>
      <c r="HP39" s="30">
        <f t="shared" si="47"/>
        <v>2.67632314458357E-2</v>
      </c>
      <c r="HQ39" s="29">
        <v>80</v>
      </c>
      <c r="HR39" s="30">
        <v>502.6548245743669</v>
      </c>
      <c r="HS39" s="30">
        <f t="shared" si="48"/>
        <v>-5.4107005099817602</v>
      </c>
      <c r="HT39" s="30">
        <f t="shared" si="49"/>
        <v>-5.4616890164781227</v>
      </c>
      <c r="HU39" s="30">
        <f t="shared" si="50"/>
        <v>-5.098850649636244E-2</v>
      </c>
      <c r="HV39" s="30">
        <f t="shared" si="8"/>
        <v>14.47643387684257</v>
      </c>
      <c r="HW39" s="30">
        <f t="shared" si="9"/>
        <v>14.501936855862654</v>
      </c>
      <c r="HX39" s="73">
        <f t="shared" si="10"/>
        <v>-3.1688413222648251</v>
      </c>
      <c r="HY39" s="30">
        <f t="shared" si="51"/>
        <v>14.554185614784767</v>
      </c>
      <c r="HZ39" s="74">
        <f t="shared" si="52"/>
        <v>-2.5502979020084027E-2</v>
      </c>
    </row>
    <row r="40" spans="1:234" ht="15" customHeight="1">
      <c r="AI40" s="93" t="s">
        <v>48</v>
      </c>
      <c r="AJ40" s="136">
        <f>FP21</f>
        <v>0.125</v>
      </c>
      <c r="AK40" s="136"/>
      <c r="AL40" s="136"/>
      <c r="AM40" s="136"/>
      <c r="AN40" s="90" t="s">
        <v>69</v>
      </c>
      <c r="AO40" s="90"/>
      <c r="AP40" s="104">
        <f>AJ40/1000000</f>
        <v>1.2499999999999999E-7</v>
      </c>
      <c r="AQ40" s="104"/>
      <c r="AR40" s="104"/>
      <c r="AS40" s="104"/>
      <c r="AT40" s="30" t="s">
        <v>70</v>
      </c>
      <c r="AW40" s="142" t="s">
        <v>29</v>
      </c>
      <c r="AX40" s="142"/>
      <c r="AY40" s="164" t="s">
        <v>104</v>
      </c>
      <c r="AZ40" s="160" t="s">
        <v>30</v>
      </c>
      <c r="BA40" s="141">
        <v>1</v>
      </c>
      <c r="BB40" s="141"/>
      <c r="BC40" s="141"/>
      <c r="BD40" s="142" t="s">
        <v>33</v>
      </c>
      <c r="BE40" s="164" t="s">
        <v>104</v>
      </c>
      <c r="BF40" s="160" t="s">
        <v>105</v>
      </c>
      <c r="BG40" s="161" t="s">
        <v>106</v>
      </c>
      <c r="BH40" s="141"/>
      <c r="BI40" s="141"/>
      <c r="BJ40" s="142" t="s">
        <v>33</v>
      </c>
      <c r="BK40" s="164">
        <f>CQ36</f>
        <v>298.75354188170991</v>
      </c>
      <c r="BL40" s="164"/>
      <c r="BM40" s="164"/>
      <c r="BN40" s="164"/>
      <c r="BO40" s="165" t="s">
        <v>91</v>
      </c>
      <c r="BP40" s="142">
        <f>CV36</f>
        <v>-0.70100061341789155</v>
      </c>
      <c r="BQ40" s="142"/>
      <c r="BR40" s="142"/>
      <c r="BS40" s="142"/>
      <c r="BT40" s="160" t="s">
        <v>91</v>
      </c>
      <c r="BU40" s="141">
        <v>-1</v>
      </c>
      <c r="BV40" s="141"/>
      <c r="BW40" s="141"/>
      <c r="BX40" s="141"/>
      <c r="BY40" s="141"/>
      <c r="BZ40" s="104" t="s">
        <v>33</v>
      </c>
      <c r="CA40" s="151">
        <f>BK40</f>
        <v>298.75354188170991</v>
      </c>
      <c r="CB40" s="152"/>
      <c r="CC40" s="152"/>
      <c r="CD40" s="153"/>
      <c r="CE40" s="109" t="s">
        <v>91</v>
      </c>
      <c r="CF40" s="151">
        <f>BP40+BU40/BU41</f>
        <v>-127324.65547412972</v>
      </c>
      <c r="CG40" s="152"/>
      <c r="CH40" s="152"/>
      <c r="CI40" s="153"/>
      <c r="CJ40" s="108" t="s">
        <v>33</v>
      </c>
      <c r="CK40" s="108" t="s">
        <v>107</v>
      </c>
      <c r="CL40" s="108"/>
      <c r="CM40" s="115" t="s">
        <v>96</v>
      </c>
      <c r="CN40" s="108" t="s">
        <v>108</v>
      </c>
      <c r="CO40" s="108"/>
      <c r="CP40" s="2"/>
      <c r="CQ40" s="2"/>
      <c r="CR40" s="2"/>
      <c r="DL40" s="104"/>
      <c r="FO40" s="93" t="s">
        <v>221</v>
      </c>
      <c r="FP40" s="30">
        <f>SQRT(FP46^2+FR46^2)</f>
        <v>0.9373874338899324</v>
      </c>
      <c r="FT40" s="29">
        <v>90</v>
      </c>
      <c r="FU40" s="27">
        <f t="shared" si="12"/>
        <v>565.48667764616278</v>
      </c>
      <c r="FV40" s="30">
        <f t="shared" si="53"/>
        <v>243.12125453216018</v>
      </c>
      <c r="FW40" s="30">
        <f t="shared" si="13"/>
        <v>239.21131035178348</v>
      </c>
      <c r="FX40" s="34">
        <f t="shared" si="14"/>
        <v>341.07183320454459</v>
      </c>
      <c r="FY40" s="30">
        <f t="shared" si="15"/>
        <v>123.89391818846539</v>
      </c>
      <c r="FZ40" s="30">
        <f t="shared" si="16"/>
        <v>-119.60565517589174</v>
      </c>
      <c r="GA40" s="34">
        <f t="shared" si="17"/>
        <v>172.20689798653385</v>
      </c>
      <c r="GB40" s="34">
        <f t="shared" si="18"/>
        <v>2.7559733687654511</v>
      </c>
      <c r="GC40" s="34">
        <f t="shared" si="19"/>
        <v>12.612455864205058</v>
      </c>
      <c r="GD40" s="34">
        <f t="shared" si="20"/>
        <v>12.910051593075256</v>
      </c>
      <c r="GE40" s="55">
        <f t="shared" si="21"/>
        <v>298.62201331561732</v>
      </c>
      <c r="GF40" s="55">
        <f t="shared" si="22"/>
        <v>-6.3062279321025292</v>
      </c>
      <c r="GG40" s="34">
        <f t="shared" si="23"/>
        <v>298.6885925967116</v>
      </c>
      <c r="GH40" s="30">
        <f t="shared" si="24"/>
        <v>245.10741122791117</v>
      </c>
      <c r="GI40" s="30">
        <f t="shared" si="0"/>
        <v>-489.98752899563317</v>
      </c>
      <c r="GJ40" s="34">
        <f t="shared" si="25"/>
        <v>547.87354527308105</v>
      </c>
      <c r="GK40" s="34">
        <f t="shared" si="26"/>
        <v>298.62201331561732</v>
      </c>
      <c r="GL40" s="34">
        <f t="shared" si="27"/>
        <v>-14153.412280545022</v>
      </c>
      <c r="GM40" s="34">
        <f t="shared" si="28"/>
        <v>14156.562234169684</v>
      </c>
      <c r="GN40" s="55">
        <f t="shared" si="1"/>
        <v>602.75597336876547</v>
      </c>
      <c r="GO40" s="55">
        <f t="shared" si="2"/>
        <v>12.612455864205058</v>
      </c>
      <c r="GP40" s="34">
        <f t="shared" si="29"/>
        <v>602.88791452031478</v>
      </c>
      <c r="GQ40" s="55">
        <f t="shared" si="30"/>
        <v>602.19645451617544</v>
      </c>
      <c r="GR40" s="55">
        <f t="shared" si="31"/>
        <v>-13.033289490239737</v>
      </c>
      <c r="GS40" s="34">
        <f t="shared" si="32"/>
        <v>602.33747722251894</v>
      </c>
      <c r="GT40" s="56">
        <f t="shared" si="33"/>
        <v>848.07368241710105</v>
      </c>
      <c r="GU40" s="56">
        <f t="shared" si="33"/>
        <v>238.79047672574882</v>
      </c>
      <c r="GV40" s="34">
        <f t="shared" si="34"/>
        <v>881.05043135078949</v>
      </c>
      <c r="GW40" s="30">
        <f t="shared" si="35"/>
        <v>353.55784691887675</v>
      </c>
      <c r="GX40" s="30">
        <f t="shared" si="3"/>
        <v>-245.34226312904039</v>
      </c>
      <c r="GY40" s="34">
        <f t="shared" si="36"/>
        <v>430.34402191176207</v>
      </c>
      <c r="GZ40" s="34">
        <f t="shared" si="4"/>
        <v>596.6791014510369</v>
      </c>
      <c r="HA40" s="34">
        <f t="shared" si="4"/>
        <v>-6.1309527772569083</v>
      </c>
      <c r="HB40" s="34">
        <f t="shared" si="37"/>
        <v>596.71059877496202</v>
      </c>
      <c r="HC40" s="33">
        <f t="shared" si="5"/>
        <v>0.59670462474615671</v>
      </c>
      <c r="HD40" s="33">
        <f t="shared" si="6"/>
        <v>-0.40504836630780389</v>
      </c>
      <c r="HE40" s="33">
        <f t="shared" si="38"/>
        <v>0.7211938631478173</v>
      </c>
      <c r="HF40" s="33">
        <f t="shared" si="39"/>
        <v>0.31873669996768567</v>
      </c>
      <c r="HG40" s="33">
        <f t="shared" si="7"/>
        <v>-0.37897343259007515</v>
      </c>
      <c r="HH40" s="33">
        <f t="shared" si="40"/>
        <v>0.49519081828664258</v>
      </c>
      <c r="HI40" s="30">
        <f t="shared" si="54"/>
        <v>0.30938696836191282</v>
      </c>
      <c r="HJ40" s="30">
        <f t="shared" si="41"/>
        <v>-0.38389869020880774</v>
      </c>
      <c r="HK40" s="33">
        <f t="shared" si="42"/>
        <v>0.49305020082767781</v>
      </c>
      <c r="HL40" s="61">
        <f t="shared" si="43"/>
        <v>0.29984486240555525</v>
      </c>
      <c r="HM40" s="61">
        <f t="shared" si="44"/>
        <v>-0.38841754302324993</v>
      </c>
      <c r="HN40" s="33">
        <f t="shared" si="45"/>
        <v>0.49068842378766647</v>
      </c>
      <c r="HO40" s="30">
        <f t="shared" si="46"/>
        <v>-6.1045483300177992</v>
      </c>
      <c r="HP40" s="30">
        <f t="shared" si="47"/>
        <v>3.823738829971024E-2</v>
      </c>
      <c r="HQ40" s="29">
        <v>90</v>
      </c>
      <c r="HR40" s="30">
        <v>565.48667764616278</v>
      </c>
      <c r="HS40" s="30">
        <f t="shared" si="48"/>
        <v>-6.1427857183175094</v>
      </c>
      <c r="HT40" s="30">
        <f t="shared" si="49"/>
        <v>-6.1838837535441513</v>
      </c>
      <c r="HU40" s="30">
        <f t="shared" si="50"/>
        <v>-4.1098035226641905E-2</v>
      </c>
      <c r="HV40" s="30">
        <f t="shared" si="8"/>
        <v>13.754239139776541</v>
      </c>
      <c r="HW40" s="30">
        <f t="shared" si="9"/>
        <v>13.769851647526906</v>
      </c>
      <c r="HX40" s="73">
        <f t="shared" si="10"/>
        <v>-3.2894012250379774</v>
      </c>
      <c r="HY40" s="30">
        <f t="shared" si="51"/>
        <v>13.833574563302893</v>
      </c>
      <c r="HZ40" s="74">
        <f t="shared" si="52"/>
        <v>-1.5612507750365268E-2</v>
      </c>
    </row>
    <row r="41" spans="1:234" ht="15" customHeight="1" thickBot="1">
      <c r="AE41" s="89"/>
      <c r="AI41" s="93"/>
      <c r="AW41" s="142"/>
      <c r="AX41" s="142"/>
      <c r="AY41" s="164"/>
      <c r="AZ41" s="160"/>
      <c r="BA41" s="164" t="s">
        <v>31</v>
      </c>
      <c r="BB41" s="164"/>
      <c r="BC41" s="164"/>
      <c r="BD41" s="142"/>
      <c r="BE41" s="164"/>
      <c r="BF41" s="160"/>
      <c r="BG41" s="158" t="s">
        <v>52</v>
      </c>
      <c r="BH41" s="158"/>
      <c r="BI41" s="158"/>
      <c r="BJ41" s="142"/>
      <c r="BK41" s="164"/>
      <c r="BL41" s="164"/>
      <c r="BM41" s="164"/>
      <c r="BN41" s="164"/>
      <c r="BO41" s="164"/>
      <c r="BP41" s="142"/>
      <c r="BQ41" s="142"/>
      <c r="BR41" s="142"/>
      <c r="BS41" s="142"/>
      <c r="BT41" s="142"/>
      <c r="BU41" s="164">
        <f>AJ43*AP40</f>
        <v>7.853981633974482E-6</v>
      </c>
      <c r="BV41" s="164"/>
      <c r="BW41" s="164"/>
      <c r="BX41" s="164"/>
      <c r="BY41" s="164"/>
      <c r="BZ41" s="104"/>
      <c r="CA41" s="159"/>
      <c r="CB41" s="155"/>
      <c r="CC41" s="155"/>
      <c r="CD41" s="156"/>
      <c r="CE41" s="108"/>
      <c r="CF41" s="159"/>
      <c r="CG41" s="155"/>
      <c r="CH41" s="155"/>
      <c r="CI41" s="156"/>
      <c r="CJ41" s="108"/>
      <c r="CK41" s="108"/>
      <c r="CL41" s="108"/>
      <c r="CM41" s="116"/>
      <c r="CN41" s="108"/>
      <c r="CO41" s="108"/>
      <c r="CP41" s="2"/>
      <c r="CQ41" s="2"/>
      <c r="CR41" s="2"/>
      <c r="CS41" s="105" t="s">
        <v>9</v>
      </c>
      <c r="CT41" s="105"/>
      <c r="CU41" s="105"/>
      <c r="CV41" s="105"/>
      <c r="CW41" s="104" t="s">
        <v>177</v>
      </c>
      <c r="CX41" s="105" t="s">
        <v>179</v>
      </c>
      <c r="CY41" s="105"/>
      <c r="CZ41" s="105"/>
      <c r="DA41" s="105"/>
      <c r="DB41" s="105"/>
      <c r="DC41" s="105"/>
      <c r="DD41" s="105"/>
      <c r="DE41" s="105"/>
      <c r="DF41" s="105"/>
      <c r="DL41" s="104"/>
      <c r="FT41" s="29">
        <f>FT26*10</f>
        <v>100</v>
      </c>
      <c r="FU41" s="27">
        <f t="shared" si="12"/>
        <v>628.31853071795865</v>
      </c>
      <c r="FV41" s="30">
        <f t="shared" si="53"/>
        <v>268.30936287876426</v>
      </c>
      <c r="FW41" s="30">
        <f t="shared" si="13"/>
        <v>238.77224700984618</v>
      </c>
      <c r="FX41" s="34">
        <f t="shared" si="14"/>
        <v>359.16862356077178</v>
      </c>
      <c r="FY41" s="30">
        <f t="shared" si="15"/>
        <v>111.29986401516334</v>
      </c>
      <c r="FZ41" s="30">
        <f t="shared" si="16"/>
        <v>-119.38612350492309</v>
      </c>
      <c r="GA41" s="34">
        <f t="shared" si="17"/>
        <v>163.21980950646463</v>
      </c>
      <c r="GB41" s="34">
        <f t="shared" si="18"/>
        <v>2.818415403069904</v>
      </c>
      <c r="GC41" s="34">
        <f t="shared" si="19"/>
        <v>14.012374698140619</v>
      </c>
      <c r="GD41" s="34">
        <f t="shared" si="20"/>
        <v>14.293009132626798</v>
      </c>
      <c r="GE41" s="55">
        <f t="shared" si="21"/>
        <v>298.59079229846503</v>
      </c>
      <c r="GF41" s="55">
        <f t="shared" si="22"/>
        <v>-7.0061873490703093</v>
      </c>
      <c r="GG41" s="34">
        <f t="shared" si="23"/>
        <v>298.67297819956087</v>
      </c>
      <c r="GH41" s="30">
        <f t="shared" si="24"/>
        <v>232.51309640741746</v>
      </c>
      <c r="GI41" s="30">
        <f t="shared" si="0"/>
        <v>-452.7298099435593</v>
      </c>
      <c r="GJ41" s="34">
        <f t="shared" si="25"/>
        <v>508.94657952725879</v>
      </c>
      <c r="GK41" s="34">
        <f t="shared" si="26"/>
        <v>298.59079229846503</v>
      </c>
      <c r="GL41" s="34">
        <f t="shared" si="27"/>
        <v>-12739.401634700698</v>
      </c>
      <c r="GM41" s="34">
        <f t="shared" si="28"/>
        <v>12742.900394786904</v>
      </c>
      <c r="GN41" s="55">
        <f t="shared" si="1"/>
        <v>602.81841540306993</v>
      </c>
      <c r="GO41" s="55">
        <f t="shared" si="2"/>
        <v>14.012374698140619</v>
      </c>
      <c r="GP41" s="34">
        <f t="shared" si="29"/>
        <v>602.98125061543101</v>
      </c>
      <c r="GQ41" s="55">
        <f t="shared" si="30"/>
        <v>602.12774353149825</v>
      </c>
      <c r="GR41" s="55">
        <f t="shared" si="31"/>
        <v>-14.479572378044862</v>
      </c>
      <c r="GS41" s="34">
        <f t="shared" si="32"/>
        <v>602.30181599143862</v>
      </c>
      <c r="GT41" s="56">
        <f t="shared" si="33"/>
        <v>873.25552181333239</v>
      </c>
      <c r="GU41" s="56">
        <f t="shared" si="33"/>
        <v>238.30504932994194</v>
      </c>
      <c r="GV41" s="34">
        <f t="shared" si="34"/>
        <v>905.18755123654978</v>
      </c>
      <c r="GW41" s="30">
        <f t="shared" si="35"/>
        <v>328.45328056588085</v>
      </c>
      <c r="GX41" s="30">
        <f t="shared" si="3"/>
        <v>-243.73204395061458</v>
      </c>
      <c r="GY41" s="34">
        <f t="shared" si="36"/>
        <v>409.00717201882117</v>
      </c>
      <c r="GZ41" s="34">
        <f t="shared" si="4"/>
        <v>596.76264344464516</v>
      </c>
      <c r="HA41" s="34">
        <f t="shared" si="4"/>
        <v>-4.9597969407683991</v>
      </c>
      <c r="HB41" s="34">
        <f t="shared" si="37"/>
        <v>596.78325395132731</v>
      </c>
      <c r="HC41" s="33">
        <f t="shared" si="5"/>
        <v>0.55374805489558654</v>
      </c>
      <c r="HD41" s="33">
        <f t="shared" si="6"/>
        <v>-0.40382146685818893</v>
      </c>
      <c r="HE41" s="33">
        <f t="shared" si="38"/>
        <v>0.68535296409670909</v>
      </c>
      <c r="HF41" s="33">
        <f t="shared" si="39"/>
        <v>0.28569446958534472</v>
      </c>
      <c r="HG41" s="33">
        <f t="shared" si="7"/>
        <v>-0.3580067711410802</v>
      </c>
      <c r="HH41" s="33">
        <f t="shared" si="40"/>
        <v>0.45802857785788131</v>
      </c>
      <c r="HI41" s="30">
        <f t="shared" si="54"/>
        <v>0.27607474605584637</v>
      </c>
      <c r="HJ41" s="30">
        <f t="shared" si="41"/>
        <v>-0.36296380810553452</v>
      </c>
      <c r="HK41" s="33">
        <f t="shared" si="42"/>
        <v>0.45602630560557728</v>
      </c>
      <c r="HL41" s="61">
        <f t="shared" si="43"/>
        <v>0.26624256759416842</v>
      </c>
      <c r="HM41" s="61">
        <f t="shared" si="44"/>
        <v>-0.36745555514082123</v>
      </c>
      <c r="HN41" s="33">
        <f t="shared" si="45"/>
        <v>0.45377162736665727</v>
      </c>
      <c r="HO41" s="30">
        <f t="shared" si="46"/>
        <v>-6.7821484827703395</v>
      </c>
      <c r="HP41" s="30">
        <f t="shared" si="47"/>
        <v>4.6646241297035651E-2</v>
      </c>
      <c r="HQ41" s="29">
        <f>HQ26*10</f>
        <v>100</v>
      </c>
      <c r="HR41" s="30">
        <v>628.31853071795865</v>
      </c>
      <c r="HS41" s="30">
        <f t="shared" si="48"/>
        <v>-6.8287947240673752</v>
      </c>
      <c r="HT41" s="30">
        <f t="shared" si="49"/>
        <v>-6.8632532480571964</v>
      </c>
      <c r="HU41" s="30">
        <f t="shared" si="50"/>
        <v>-3.4458523989821188E-2</v>
      </c>
      <c r="HV41" s="30">
        <f t="shared" si="8"/>
        <v>13.074869645263496</v>
      </c>
      <c r="HW41" s="30">
        <f t="shared" si="9"/>
        <v>13.083842641777039</v>
      </c>
      <c r="HX41" s="73">
        <f t="shared" si="10"/>
        <v>-3.2167460486726895</v>
      </c>
      <c r="HY41" s="30">
        <f t="shared" si="51"/>
        <v>13.155974410550353</v>
      </c>
      <c r="HZ41" s="74">
        <f t="shared" si="52"/>
        <v>-8.9729965135436629E-3</v>
      </c>
    </row>
    <row r="42" spans="1:234" ht="15" customHeight="1">
      <c r="AI42" s="93" t="s">
        <v>49</v>
      </c>
      <c r="AJ42" s="136">
        <f>FP23</f>
        <v>10</v>
      </c>
      <c r="AK42" s="136"/>
      <c r="AL42" s="136"/>
      <c r="AM42" s="136"/>
      <c r="AN42" s="30" t="s">
        <v>50</v>
      </c>
      <c r="AW42" s="104" t="s">
        <v>32</v>
      </c>
      <c r="AX42" s="104"/>
      <c r="AY42" s="104" t="s">
        <v>86</v>
      </c>
      <c r="AZ42" s="104"/>
      <c r="BA42" s="104"/>
      <c r="BB42" s="104" t="s">
        <v>33</v>
      </c>
      <c r="BC42" s="151">
        <f>DN34+AJ34</f>
        <v>602.49291623658019</v>
      </c>
      <c r="BD42" s="152"/>
      <c r="BE42" s="152"/>
      <c r="BF42" s="153"/>
      <c r="BG42" s="109" t="s">
        <v>105</v>
      </c>
      <c r="BH42" s="151">
        <f>DS34</f>
        <v>1.4020012268357831</v>
      </c>
      <c r="BI42" s="152"/>
      <c r="BJ42" s="152"/>
      <c r="BK42" s="153"/>
      <c r="BL42" s="108" t="s">
        <v>33</v>
      </c>
      <c r="BM42" s="108" t="s">
        <v>109</v>
      </c>
      <c r="BN42" s="108"/>
      <c r="BO42" s="115" t="s">
        <v>96</v>
      </c>
      <c r="BP42" s="108" t="s">
        <v>110</v>
      </c>
      <c r="BQ42" s="108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K42" s="5"/>
      <c r="CS42" s="104" t="s">
        <v>67</v>
      </c>
      <c r="CT42" s="104"/>
      <c r="CU42" s="104"/>
      <c r="CV42" s="104"/>
      <c r="CW42" s="104"/>
      <c r="CX42" s="30" t="s">
        <v>178</v>
      </c>
      <c r="FT42" s="29">
        <v>110</v>
      </c>
      <c r="FU42" s="27">
        <f t="shared" si="12"/>
        <v>691.15038378975453</v>
      </c>
      <c r="FV42" s="30">
        <f t="shared" si="53"/>
        <v>290.79284671275951</v>
      </c>
      <c r="FW42" s="30">
        <f t="shared" si="13"/>
        <v>236.12079980511609</v>
      </c>
      <c r="FX42" s="34">
        <f t="shared" si="14"/>
        <v>374.58445215988098</v>
      </c>
      <c r="FY42" s="30">
        <f t="shared" si="15"/>
        <v>100.05812209816571</v>
      </c>
      <c r="FZ42" s="30">
        <f t="shared" si="16"/>
        <v>-118.06039990255805</v>
      </c>
      <c r="GA42" s="34">
        <f t="shared" si="17"/>
        <v>154.75750651572079</v>
      </c>
      <c r="GB42" s="34">
        <f t="shared" si="18"/>
        <v>2.8874150942657626</v>
      </c>
      <c r="GC42" s="34">
        <f t="shared" si="19"/>
        <v>15.411831244853174</v>
      </c>
      <c r="GD42" s="34">
        <f t="shared" si="20"/>
        <v>15.679977941515935</v>
      </c>
      <c r="GE42" s="55">
        <f t="shared" si="21"/>
        <v>298.55629245286713</v>
      </c>
      <c r="GF42" s="55">
        <f t="shared" si="22"/>
        <v>-7.7059156224265868</v>
      </c>
      <c r="GG42" s="34">
        <f t="shared" si="23"/>
        <v>298.65572303035123</v>
      </c>
      <c r="GH42" s="30">
        <f t="shared" si="24"/>
        <v>221.27116164097527</v>
      </c>
      <c r="GI42" s="30">
        <f t="shared" si="0"/>
        <v>-421.10011484735725</v>
      </c>
      <c r="GJ42" s="34">
        <f t="shared" si="25"/>
        <v>475.69552625435114</v>
      </c>
      <c r="GK42" s="34">
        <f t="shared" si="26"/>
        <v>298.55629245286713</v>
      </c>
      <c r="GL42" s="34">
        <f t="shared" si="27"/>
        <v>-11582.610867760268</v>
      </c>
      <c r="GM42" s="34">
        <f t="shared" si="28"/>
        <v>11586.458059895675</v>
      </c>
      <c r="GN42" s="55">
        <f t="shared" si="1"/>
        <v>602.88741509426575</v>
      </c>
      <c r="GO42" s="55">
        <f t="shared" si="2"/>
        <v>15.411831244853174</v>
      </c>
      <c r="GP42" s="34">
        <f t="shared" si="29"/>
        <v>603.08437205864095</v>
      </c>
      <c r="GQ42" s="55">
        <f t="shared" si="30"/>
        <v>602.0518253006087</v>
      </c>
      <c r="GR42" s="55">
        <f t="shared" si="31"/>
        <v>-15.925268811163457</v>
      </c>
      <c r="GS42" s="34">
        <f t="shared" si="32"/>
        <v>602.26241335027908</v>
      </c>
      <c r="GT42" s="56">
        <f t="shared" si="33"/>
        <v>895.73208710763402</v>
      </c>
      <c r="GU42" s="56">
        <f t="shared" si="33"/>
        <v>235.60736223880582</v>
      </c>
      <c r="GV42" s="34">
        <f t="shared" si="34"/>
        <v>926.2001948905679</v>
      </c>
      <c r="GW42" s="30">
        <f t="shared" si="35"/>
        <v>306.14416145777841</v>
      </c>
      <c r="GX42" s="30">
        <f t="shared" si="3"/>
        <v>-240.17141142288466</v>
      </c>
      <c r="GY42" s="34">
        <f t="shared" si="36"/>
        <v>389.10995163262896</v>
      </c>
      <c r="GZ42" s="34">
        <f t="shared" si="4"/>
        <v>596.93700817053787</v>
      </c>
      <c r="HA42" s="34">
        <f t="shared" si="4"/>
        <v>-4.0506116177685669</v>
      </c>
      <c r="HB42" s="34">
        <f t="shared" si="37"/>
        <v>596.95075104908847</v>
      </c>
      <c r="HC42" s="33">
        <f t="shared" si="5"/>
        <v>0.5155648049099103</v>
      </c>
      <c r="HD42" s="33">
        <f t="shared" si="6"/>
        <v>-0.39884117649878803</v>
      </c>
      <c r="HE42" s="33">
        <f t="shared" si="38"/>
        <v>0.65182923540811766</v>
      </c>
      <c r="HF42" s="33">
        <f t="shared" si="39"/>
        <v>0.25910670425820836</v>
      </c>
      <c r="HG42" s="33">
        <f t="shared" si="7"/>
        <v>-0.3378095305191296</v>
      </c>
      <c r="HH42" s="33">
        <f t="shared" si="40"/>
        <v>0.42573649491335058</v>
      </c>
      <c r="HI42" s="30">
        <f t="shared" si="54"/>
        <v>0.24926795356879863</v>
      </c>
      <c r="HJ42" s="30">
        <f t="shared" si="41"/>
        <v>-0.34280666716588787</v>
      </c>
      <c r="HK42" s="33">
        <f t="shared" si="42"/>
        <v>0.42385247873494919</v>
      </c>
      <c r="HL42" s="61">
        <f t="shared" si="43"/>
        <v>0.23919649849266036</v>
      </c>
      <c r="HM42" s="61">
        <f t="shared" si="44"/>
        <v>-0.34727952703395681</v>
      </c>
      <c r="HN42" s="33">
        <f t="shared" si="45"/>
        <v>0.42168475759514712</v>
      </c>
      <c r="HO42" s="30">
        <f t="shared" si="46"/>
        <v>-7.4171823941485808</v>
      </c>
      <c r="HP42" s="30">
        <f t="shared" si="47"/>
        <v>5.3118671658794803E-2</v>
      </c>
      <c r="HQ42" s="29">
        <v>110</v>
      </c>
      <c r="HR42" s="30">
        <v>691.15038378975453</v>
      </c>
      <c r="HS42" s="30">
        <f t="shared" si="48"/>
        <v>-7.4703010658073756</v>
      </c>
      <c r="HT42" s="30">
        <f t="shared" si="49"/>
        <v>-7.5002419380596796</v>
      </c>
      <c r="HU42" s="30">
        <f t="shared" si="50"/>
        <v>-2.9940872252304018E-2</v>
      </c>
      <c r="HV42" s="30">
        <f t="shared" si="8"/>
        <v>12.437880955261011</v>
      </c>
      <c r="HW42" s="30">
        <f t="shared" si="9"/>
        <v>12.442336300037038</v>
      </c>
      <c r="HX42" s="73">
        <f t="shared" si="10"/>
        <v>-3.049248950911533</v>
      </c>
      <c r="HY42" s="30">
        <f t="shared" si="51"/>
        <v>12.520940499172111</v>
      </c>
      <c r="HZ42" s="74">
        <f t="shared" si="52"/>
        <v>-4.455344776026493E-3</v>
      </c>
    </row>
    <row r="43" spans="1:234" ht="15" customHeight="1" thickBot="1">
      <c r="C43" s="89"/>
      <c r="D43" s="89"/>
      <c r="E43" s="89"/>
      <c r="F43" s="89"/>
      <c r="G43" s="89"/>
      <c r="H43" s="89"/>
      <c r="AI43" s="93" t="s">
        <v>51</v>
      </c>
      <c r="AJ43" s="104">
        <f>2*PI()*AJ42</f>
        <v>62.831853071795862</v>
      </c>
      <c r="AK43" s="104"/>
      <c r="AL43" s="104"/>
      <c r="AM43" s="104"/>
      <c r="AW43" s="104"/>
      <c r="AX43" s="104"/>
      <c r="AY43" s="104"/>
      <c r="AZ43" s="104"/>
      <c r="BA43" s="104"/>
      <c r="BB43" s="104"/>
      <c r="BC43" s="159"/>
      <c r="BD43" s="155"/>
      <c r="BE43" s="155"/>
      <c r="BF43" s="156"/>
      <c r="BG43" s="109"/>
      <c r="BH43" s="159"/>
      <c r="BI43" s="155"/>
      <c r="BJ43" s="155"/>
      <c r="BK43" s="156"/>
      <c r="BL43" s="108"/>
      <c r="BM43" s="108"/>
      <c r="BN43" s="108"/>
      <c r="BO43" s="116"/>
      <c r="BP43" s="108"/>
      <c r="BQ43" s="108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FO43" s="93" t="s">
        <v>213</v>
      </c>
      <c r="FP43" s="30">
        <f>DH6</f>
        <v>0.97281709713158682</v>
      </c>
      <c r="FQ43" s="91" t="s">
        <v>212</v>
      </c>
      <c r="FR43" s="30">
        <f>DN6</f>
        <v>-8.2058096651286813E-2</v>
      </c>
      <c r="FS43" s="30" t="s">
        <v>137</v>
      </c>
      <c r="FT43" s="29">
        <v>120</v>
      </c>
      <c r="FU43" s="27">
        <f t="shared" si="12"/>
        <v>753.98223686155029</v>
      </c>
      <c r="FV43" s="30">
        <f t="shared" si="53"/>
        <v>310.72540261661368</v>
      </c>
      <c r="FW43" s="30">
        <f t="shared" si="13"/>
        <v>231.92947004277627</v>
      </c>
      <c r="FX43" s="34">
        <f t="shared" si="14"/>
        <v>387.73902938133494</v>
      </c>
      <c r="FY43" s="30">
        <f t="shared" si="15"/>
        <v>90.091844146238628</v>
      </c>
      <c r="FZ43" s="30">
        <f t="shared" si="16"/>
        <v>-115.96473502138814</v>
      </c>
      <c r="GA43" s="34">
        <f t="shared" si="17"/>
        <v>146.84808527948505</v>
      </c>
      <c r="GB43" s="34">
        <f t="shared" si="18"/>
        <v>2.9629678920476605</v>
      </c>
      <c r="GC43" s="34">
        <f t="shared" si="19"/>
        <v>16.810779471458158</v>
      </c>
      <c r="GD43" s="34">
        <f t="shared" si="20"/>
        <v>17.069899975316329</v>
      </c>
      <c r="GE43" s="55">
        <f t="shared" si="21"/>
        <v>298.51851605397616</v>
      </c>
      <c r="GF43" s="55">
        <f t="shared" si="22"/>
        <v>-8.405389735729079</v>
      </c>
      <c r="GG43" s="34">
        <f t="shared" si="23"/>
        <v>298.63682794269954</v>
      </c>
      <c r="GH43" s="30">
        <f t="shared" si="24"/>
        <v>211.30473701122992</v>
      </c>
      <c r="GI43" s="30">
        <f t="shared" si="0"/>
        <v>-393.75114038786154</v>
      </c>
      <c r="GJ43" s="34">
        <f t="shared" si="25"/>
        <v>446.86648167000232</v>
      </c>
      <c r="GK43" s="34">
        <f t="shared" si="26"/>
        <v>298.51851605397616</v>
      </c>
      <c r="GL43" s="34">
        <f t="shared" si="27"/>
        <v>-10618.73492919542</v>
      </c>
      <c r="GM43" s="34">
        <f t="shared" si="28"/>
        <v>10622.930141959041</v>
      </c>
      <c r="GN43" s="55">
        <f t="shared" si="1"/>
        <v>602.96296789204769</v>
      </c>
      <c r="GO43" s="55">
        <f t="shared" si="2"/>
        <v>16.810779471458158</v>
      </c>
      <c r="GP43" s="34">
        <f t="shared" si="29"/>
        <v>603.19726703262222</v>
      </c>
      <c r="GQ43" s="55">
        <f t="shared" si="30"/>
        <v>601.96870743934767</v>
      </c>
      <c r="GR43" s="55">
        <f t="shared" si="31"/>
        <v>-17.370320660620692</v>
      </c>
      <c r="GS43" s="34">
        <f t="shared" si="32"/>
        <v>602.21927300282562</v>
      </c>
      <c r="GT43" s="56">
        <f t="shared" si="33"/>
        <v>915.65707794800903</v>
      </c>
      <c r="GU43" s="56">
        <f t="shared" si="33"/>
        <v>231.36992885361371</v>
      </c>
      <c r="GV43" s="34">
        <f t="shared" si="34"/>
        <v>944.43630191454019</v>
      </c>
      <c r="GW43" s="30">
        <f t="shared" si="35"/>
        <v>286.42361034087071</v>
      </c>
      <c r="GX43" s="30">
        <f t="shared" si="3"/>
        <v>-235.27118691945373</v>
      </c>
      <c r="GY43" s="34">
        <f t="shared" si="36"/>
        <v>370.66294116783172</v>
      </c>
      <c r="GZ43" s="34">
        <f t="shared" si="4"/>
        <v>597.14901295748439</v>
      </c>
      <c r="HA43" s="34">
        <f t="shared" si="4"/>
        <v>-3.3417168766774523</v>
      </c>
      <c r="HB43" s="34">
        <f t="shared" si="37"/>
        <v>597.15836320676419</v>
      </c>
      <c r="HC43" s="33">
        <f t="shared" si="5"/>
        <v>0.48184154856676736</v>
      </c>
      <c r="HD43" s="33">
        <f t="shared" si="6"/>
        <v>-0.3912943064704687</v>
      </c>
      <c r="HE43" s="33">
        <f t="shared" si="38"/>
        <v>0.62071129537122616</v>
      </c>
      <c r="HF43" s="33">
        <f t="shared" si="39"/>
        <v>0.23753001460633044</v>
      </c>
      <c r="HG43" s="33">
        <f t="shared" si="7"/>
        <v>-0.31882376073385249</v>
      </c>
      <c r="HH43" s="33">
        <f t="shared" si="40"/>
        <v>0.39757904653962889</v>
      </c>
      <c r="HI43" s="30">
        <f t="shared" si="54"/>
        <v>0.22751128830339651</v>
      </c>
      <c r="HJ43" s="30">
        <f t="shared" si="41"/>
        <v>-0.32387227470938429</v>
      </c>
      <c r="HK43" s="33">
        <f t="shared" si="42"/>
        <v>0.39579620593292969</v>
      </c>
      <c r="HL43" s="61">
        <f t="shared" si="43"/>
        <v>0.21723915309086508</v>
      </c>
      <c r="HM43" s="61">
        <f t="shared" si="44"/>
        <v>-0.32833745165632167</v>
      </c>
      <c r="HN43" s="33">
        <f t="shared" si="45"/>
        <v>0.39369827507344213</v>
      </c>
      <c r="HO43" s="30">
        <f t="shared" si="46"/>
        <v>-8.0115302426377433</v>
      </c>
      <c r="HP43" s="30">
        <f t="shared" si="47"/>
        <v>5.8372624613197033E-2</v>
      </c>
      <c r="HQ43" s="29">
        <v>120</v>
      </c>
      <c r="HR43" s="30">
        <v>753.98223686155029</v>
      </c>
      <c r="HS43" s="30">
        <f t="shared" si="48"/>
        <v>-8.0699028672509403</v>
      </c>
      <c r="HT43" s="30">
        <f t="shared" si="49"/>
        <v>-8.096729759960045</v>
      </c>
      <c r="HU43" s="30">
        <f t="shared" si="50"/>
        <v>-2.6826892709104655E-2</v>
      </c>
      <c r="HV43" s="30">
        <f t="shared" si="8"/>
        <v>11.841393133360647</v>
      </c>
      <c r="HW43" s="30">
        <f t="shared" si="9"/>
        <v>11.842734498593474</v>
      </c>
      <c r="HX43" s="73">
        <f t="shared" si="10"/>
        <v>-2.8416367932358071</v>
      </c>
      <c r="HY43" s="30">
        <f t="shared" si="51"/>
        <v>11.926592650682949</v>
      </c>
      <c r="HZ43" s="74">
        <f t="shared" si="52"/>
        <v>-1.3413652328271297E-3</v>
      </c>
    </row>
    <row r="44" spans="1:234" ht="15" customHeight="1">
      <c r="A44" s="93"/>
      <c r="L44" s="13"/>
      <c r="Q44" s="89"/>
      <c r="AW44" s="104" t="s">
        <v>120</v>
      </c>
      <c r="AX44" s="104"/>
      <c r="AY44" s="105" t="s">
        <v>123</v>
      </c>
      <c r="AZ44" s="105"/>
      <c r="BA44" s="105"/>
      <c r="BB44" s="105"/>
      <c r="BC44" s="105"/>
      <c r="BD44" s="105"/>
      <c r="BE44" s="105"/>
      <c r="BF44" s="105"/>
      <c r="BG44" s="104" t="s">
        <v>33</v>
      </c>
      <c r="BH44" s="106" t="s">
        <v>124</v>
      </c>
      <c r="BI44" s="106"/>
      <c r="BJ44" s="106"/>
      <c r="BK44" s="106"/>
      <c r="BL44" s="106"/>
      <c r="BM44" s="106"/>
      <c r="BN44" s="106"/>
      <c r="BO44" s="106"/>
      <c r="BP44" s="106"/>
      <c r="BQ44" s="106"/>
      <c r="BR44" s="106"/>
      <c r="BS44" s="106"/>
      <c r="BT44" s="106"/>
      <c r="BU44" s="106"/>
      <c r="BV44" s="106"/>
      <c r="BW44" s="104" t="s">
        <v>33</v>
      </c>
      <c r="BX44" s="21" t="s">
        <v>125</v>
      </c>
      <c r="BY44" s="22"/>
      <c r="BZ44" s="22"/>
      <c r="CA44" s="22"/>
      <c r="CB44" s="22"/>
      <c r="CC44" s="22"/>
      <c r="CD44" s="22"/>
      <c r="CE44" s="22"/>
      <c r="CF44" s="22"/>
      <c r="CG44" s="22"/>
      <c r="CH44" s="22"/>
      <c r="CI44" s="22"/>
      <c r="CJ44" s="22"/>
      <c r="CK44" s="22"/>
      <c r="CL44" s="22"/>
      <c r="CM44" s="22"/>
      <c r="CN44" s="22"/>
      <c r="CO44" s="22"/>
      <c r="CP44" s="22"/>
      <c r="CU44" s="3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FO44" s="93" t="s">
        <v>214</v>
      </c>
      <c r="FP44" s="30">
        <f>CP13</f>
        <v>0.93219087770408005</v>
      </c>
      <c r="FQ44" s="91" t="s">
        <v>212</v>
      </c>
      <c r="FR44" s="30">
        <f>CW13</f>
        <v>-0.15633560727465828</v>
      </c>
      <c r="FS44" s="30" t="s">
        <v>137</v>
      </c>
      <c r="FT44" s="29">
        <v>130</v>
      </c>
      <c r="FU44" s="27">
        <f t="shared" si="12"/>
        <v>816.81408993334617</v>
      </c>
      <c r="FV44" s="30">
        <f t="shared" si="53"/>
        <v>328.32749157446955</v>
      </c>
      <c r="FW44" s="30">
        <f t="shared" si="13"/>
        <v>226.711714254122</v>
      </c>
      <c r="FX44" s="34">
        <f t="shared" si="14"/>
        <v>398.99516676725051</v>
      </c>
      <c r="FY44" s="30">
        <f t="shared" si="15"/>
        <v>81.290799667310722</v>
      </c>
      <c r="FZ44" s="30">
        <f t="shared" si="16"/>
        <v>-113.355857127061</v>
      </c>
      <c r="GA44" s="34">
        <f t="shared" si="17"/>
        <v>139.49101926490289</v>
      </c>
      <c r="GB44" s="34">
        <f t="shared" si="18"/>
        <v>3.0450688157638734</v>
      </c>
      <c r="GC44" s="34">
        <f t="shared" si="19"/>
        <v>18.209173400905708</v>
      </c>
      <c r="GD44" s="34">
        <f t="shared" si="20"/>
        <v>18.462026975307712</v>
      </c>
      <c r="GE44" s="55">
        <f t="shared" si="21"/>
        <v>298.47746559211805</v>
      </c>
      <c r="GF44" s="55">
        <f t="shared" si="22"/>
        <v>-9.1045867004528542</v>
      </c>
      <c r="GG44" s="34">
        <f t="shared" si="23"/>
        <v>298.61629387104796</v>
      </c>
      <c r="GH44" s="30">
        <f t="shared" si="24"/>
        <v>202.50357838246916</v>
      </c>
      <c r="GI44" s="30">
        <f t="shared" si="0"/>
        <v>-369.77407746563688</v>
      </c>
      <c r="GJ44" s="34">
        <f t="shared" si="25"/>
        <v>421.59289323145339</v>
      </c>
      <c r="GK44" s="34">
        <f t="shared" si="26"/>
        <v>298.47746559211805</v>
      </c>
      <c r="GL44" s="34">
        <f t="shared" si="27"/>
        <v>-9803.2549308170892</v>
      </c>
      <c r="GM44" s="34">
        <f t="shared" si="28"/>
        <v>9807.7977159021721</v>
      </c>
      <c r="GN44" s="55">
        <f t="shared" si="1"/>
        <v>603.0450688157639</v>
      </c>
      <c r="GO44" s="55">
        <f t="shared" si="2"/>
        <v>18.209173400905708</v>
      </c>
      <c r="GP44" s="34">
        <f t="shared" si="29"/>
        <v>603.31992261067728</v>
      </c>
      <c r="GQ44" s="55">
        <f t="shared" si="30"/>
        <v>601.87839827426319</v>
      </c>
      <c r="GR44" s="55">
        <f t="shared" si="31"/>
        <v>-18.814669943832545</v>
      </c>
      <c r="GS44" s="34">
        <f t="shared" si="32"/>
        <v>602.17239899740332</v>
      </c>
      <c r="GT44" s="56">
        <f t="shared" si="33"/>
        <v>933.25095866449669</v>
      </c>
      <c r="GU44" s="56">
        <f t="shared" si="33"/>
        <v>226.10621771119517</v>
      </c>
      <c r="GV44" s="34">
        <f t="shared" si="34"/>
        <v>960.25068265316236</v>
      </c>
      <c r="GW44" s="30">
        <f t="shared" si="35"/>
        <v>269.04244660141035</v>
      </c>
      <c r="GX44" s="30">
        <f t="shared" si="3"/>
        <v>-229.49672056290541</v>
      </c>
      <c r="GY44" s="34">
        <f t="shared" si="36"/>
        <v>353.62774611503693</v>
      </c>
      <c r="GZ44" s="34">
        <f t="shared" si="4"/>
        <v>597.36993817587995</v>
      </c>
      <c r="HA44" s="34">
        <f t="shared" si="4"/>
        <v>-2.7850063087834087</v>
      </c>
      <c r="HB44" s="34">
        <f t="shared" si="37"/>
        <v>597.376430148022</v>
      </c>
      <c r="HC44" s="33">
        <f t="shared" si="5"/>
        <v>0.45215953833178368</v>
      </c>
      <c r="HD44" s="33">
        <f t="shared" si="6"/>
        <v>-0.38207053755168419</v>
      </c>
      <c r="HE44" s="33">
        <f t="shared" si="38"/>
        <v>0.59196802596883957</v>
      </c>
      <c r="HF44" s="33">
        <f t="shared" si="39"/>
        <v>0.21985948976828251</v>
      </c>
      <c r="HG44" s="33">
        <f t="shared" si="7"/>
        <v>-0.30121459864099059</v>
      </c>
      <c r="HH44" s="33">
        <f t="shared" si="40"/>
        <v>0.37291879769679426</v>
      </c>
      <c r="HI44" s="30">
        <f t="shared" si="54"/>
        <v>0.20969083019188892</v>
      </c>
      <c r="HJ44" s="30">
        <f t="shared" si="41"/>
        <v>-0.30632664611196475</v>
      </c>
      <c r="HK44" s="33">
        <f t="shared" si="42"/>
        <v>0.37122265338307209</v>
      </c>
      <c r="HL44" s="61">
        <f t="shared" si="43"/>
        <v>0.19924739023016044</v>
      </c>
      <c r="HM44" s="61">
        <f t="shared" si="44"/>
        <v>-0.31079620353021686</v>
      </c>
      <c r="HN44" s="33">
        <f t="shared" si="45"/>
        <v>0.36917990552348029</v>
      </c>
      <c r="HO44" s="30">
        <f t="shared" si="46"/>
        <v>-8.5677144925897704</v>
      </c>
      <c r="HP44" s="30">
        <f t="shared" si="47"/>
        <v>6.2867346405127478E-2</v>
      </c>
      <c r="HQ44" s="29">
        <v>130</v>
      </c>
      <c r="HR44" s="30">
        <v>816.81408993334617</v>
      </c>
      <c r="HS44" s="30">
        <f t="shared" si="48"/>
        <v>-8.6305818389948978</v>
      </c>
      <c r="HT44" s="30">
        <f t="shared" si="49"/>
        <v>-8.655238913364995</v>
      </c>
      <c r="HU44" s="30">
        <f t="shared" si="50"/>
        <v>-2.4657074370097121E-2</v>
      </c>
      <c r="HV44" s="30">
        <f t="shared" si="8"/>
        <v>11.282883979955697</v>
      </c>
      <c r="HW44" s="30">
        <f t="shared" si="9"/>
        <v>11.282055526849517</v>
      </c>
      <c r="HX44" s="73">
        <f t="shared" si="10"/>
        <v>-2.6235698519780044</v>
      </c>
      <c r="HY44" s="30">
        <f t="shared" si="51"/>
        <v>11.370408400730922</v>
      </c>
      <c r="HZ44" s="74">
        <f t="shared" si="52"/>
        <v>8.2845310618040457E-4</v>
      </c>
    </row>
    <row r="45" spans="1:234" ht="15" customHeight="1">
      <c r="AI45" s="93" t="s">
        <v>258</v>
      </c>
      <c r="AJ45" s="104">
        <v>3180</v>
      </c>
      <c r="AK45" s="104"/>
      <c r="AL45" s="104"/>
      <c r="AM45" s="104"/>
      <c r="AN45" s="30" t="s">
        <v>261</v>
      </c>
      <c r="AP45" s="104">
        <f>AJ45/1000000</f>
        <v>3.1800000000000001E-3</v>
      </c>
      <c r="AQ45" s="104"/>
      <c r="AR45" s="104"/>
      <c r="AS45" s="104"/>
      <c r="AT45" s="30" t="s">
        <v>262</v>
      </c>
      <c r="AW45" s="104"/>
      <c r="AX45" s="104"/>
      <c r="AY45" s="111" t="s">
        <v>121</v>
      </c>
      <c r="AZ45" s="111"/>
      <c r="BA45" s="111"/>
      <c r="BB45" s="111"/>
      <c r="BC45" s="111"/>
      <c r="BD45" s="111"/>
      <c r="BE45" s="111"/>
      <c r="BF45" s="111"/>
      <c r="BG45" s="104"/>
      <c r="BH45" s="112" t="s">
        <v>122</v>
      </c>
      <c r="BI45" s="112"/>
      <c r="BJ45" s="112"/>
      <c r="BK45" s="112"/>
      <c r="BL45" s="112"/>
      <c r="BM45" s="112"/>
      <c r="BN45" s="112"/>
      <c r="BO45" s="112"/>
      <c r="BP45" s="112"/>
      <c r="BQ45" s="112"/>
      <c r="BR45" s="112"/>
      <c r="BS45" s="112"/>
      <c r="BT45" s="112"/>
      <c r="BU45" s="112"/>
      <c r="BV45" s="112"/>
      <c r="BW45" s="104"/>
      <c r="BX45" s="112" t="s">
        <v>122</v>
      </c>
      <c r="BY45" s="112"/>
      <c r="BZ45" s="112"/>
      <c r="CA45" s="112"/>
      <c r="CB45" s="112"/>
      <c r="CC45" s="112"/>
      <c r="CD45" s="112"/>
      <c r="CE45" s="112"/>
      <c r="CF45" s="112"/>
      <c r="CG45" s="112"/>
      <c r="CH45" s="112"/>
      <c r="CI45" s="112"/>
      <c r="CJ45" s="112"/>
      <c r="CK45" s="112"/>
      <c r="CL45" s="11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FO45" s="93" t="s">
        <v>215</v>
      </c>
      <c r="FP45" s="30">
        <f>CV21</f>
        <v>0.927952450224384</v>
      </c>
      <c r="FQ45" s="91" t="s">
        <v>212</v>
      </c>
      <c r="FR45" s="30">
        <f>DC21</f>
        <v>-0.15786427590875102</v>
      </c>
      <c r="FS45" s="30" t="s">
        <v>137</v>
      </c>
      <c r="FT45" s="29">
        <v>150</v>
      </c>
      <c r="FU45" s="27">
        <f t="shared" si="12"/>
        <v>942.47779607693792</v>
      </c>
      <c r="FV45" s="30">
        <f t="shared" si="53"/>
        <v>357.51700310303789</v>
      </c>
      <c r="FW45" s="30">
        <f t="shared" si="13"/>
        <v>214.62511760872462</v>
      </c>
      <c r="FX45" s="34">
        <f t="shared" si="14"/>
        <v>416.99202464356136</v>
      </c>
      <c r="FY45" s="30">
        <f t="shared" si="15"/>
        <v>66.696043903026535</v>
      </c>
      <c r="FZ45" s="30">
        <f t="shared" si="16"/>
        <v>-107.31255880436231</v>
      </c>
      <c r="GA45" s="34">
        <f t="shared" si="17"/>
        <v>126.35009912720353</v>
      </c>
      <c r="GB45" s="34">
        <f t="shared" si="18"/>
        <v>3.2288929716509189</v>
      </c>
      <c r="GC45" s="34">
        <f t="shared" si="19"/>
        <v>21.004114769420145</v>
      </c>
      <c r="GD45" s="34">
        <f t="shared" si="20"/>
        <v>21.250849090550481</v>
      </c>
      <c r="GE45" s="55">
        <f t="shared" si="21"/>
        <v>298.38555351417455</v>
      </c>
      <c r="GF45" s="55">
        <f t="shared" si="22"/>
        <v>-10.502057384710072</v>
      </c>
      <c r="GG45" s="34">
        <f t="shared" si="23"/>
        <v>298.57031291686059</v>
      </c>
      <c r="GH45" s="30">
        <f t="shared" si="24"/>
        <v>187.90865897298463</v>
      </c>
      <c r="GI45" s="30">
        <f t="shared" si="0"/>
        <v>-329.54168309815839</v>
      </c>
      <c r="GJ45" s="34">
        <f t="shared" si="25"/>
        <v>379.35126863659292</v>
      </c>
      <c r="GK45" s="34">
        <f t="shared" si="26"/>
        <v>298.38555351417455</v>
      </c>
      <c r="GL45" s="34">
        <f t="shared" si="27"/>
        <v>-8498.7656889524624</v>
      </c>
      <c r="GM45" s="34">
        <f t="shared" si="28"/>
        <v>8504.0021268965811</v>
      </c>
      <c r="GN45" s="55">
        <f t="shared" si="1"/>
        <v>603.22889297165091</v>
      </c>
      <c r="GO45" s="55">
        <f t="shared" si="2"/>
        <v>21.004114769420145</v>
      </c>
      <c r="GP45" s="34">
        <f t="shared" si="29"/>
        <v>603.59445835183942</v>
      </c>
      <c r="GQ45" s="55">
        <f t="shared" si="30"/>
        <v>601.67624286843909</v>
      </c>
      <c r="GR45" s="55">
        <f t="shared" si="31"/>
        <v>-21.701029689664431</v>
      </c>
      <c r="GS45" s="34">
        <f t="shared" si="32"/>
        <v>602.06746791524336</v>
      </c>
      <c r="GT45" s="56">
        <f t="shared" si="33"/>
        <v>962.42213894312795</v>
      </c>
      <c r="GU45" s="56">
        <f t="shared" si="33"/>
        <v>213.92820268848033</v>
      </c>
      <c r="GV45" s="34">
        <f t="shared" si="34"/>
        <v>985.91158296948163</v>
      </c>
      <c r="GW45" s="30">
        <f t="shared" si="35"/>
        <v>240.26960151506532</v>
      </c>
      <c r="GX45" s="30">
        <f t="shared" si="3"/>
        <v>-216.61668575522492</v>
      </c>
      <c r="GY45" s="34">
        <f t="shared" si="36"/>
        <v>323.50003084974526</v>
      </c>
      <c r="GZ45" s="34">
        <f t="shared" si="4"/>
        <v>597.78660461810318</v>
      </c>
      <c r="HA45" s="34">
        <f t="shared" si="4"/>
        <v>-1.991568146500299</v>
      </c>
      <c r="HB45" s="34">
        <f t="shared" si="37"/>
        <v>597.78992213362267</v>
      </c>
      <c r="HC45" s="33">
        <f t="shared" si="5"/>
        <v>0.40313482866337236</v>
      </c>
      <c r="HD45" s="33">
        <f t="shared" si="6"/>
        <v>-0.36102149764561392</v>
      </c>
      <c r="HE45" s="33">
        <f t="shared" si="38"/>
        <v>0.54116006120530424</v>
      </c>
      <c r="HF45" s="33">
        <f t="shared" si="39"/>
        <v>0.19307590449279993</v>
      </c>
      <c r="HG45" s="33">
        <f t="shared" si="7"/>
        <v>-0.27011960704432431</v>
      </c>
      <c r="HH45" s="33">
        <f t="shared" si="40"/>
        <v>0.33202847318489564</v>
      </c>
      <c r="HI45" s="30">
        <f t="shared" si="54"/>
        <v>0.18267201048218851</v>
      </c>
      <c r="HJ45" s="30">
        <f t="shared" si="41"/>
        <v>-0.27539390808165903</v>
      </c>
      <c r="HK45" s="33">
        <f t="shared" si="42"/>
        <v>0.33047067649353407</v>
      </c>
      <c r="HL45" s="61">
        <f t="shared" si="43"/>
        <v>0.17194801137574112</v>
      </c>
      <c r="HM45" s="61">
        <f t="shared" si="44"/>
        <v>-0.2799069517086944</v>
      </c>
      <c r="HN45" s="33">
        <f t="shared" si="45"/>
        <v>0.32850269440436158</v>
      </c>
      <c r="HO45" s="30">
        <f t="shared" si="46"/>
        <v>-9.5764934333377454</v>
      </c>
      <c r="HP45" s="30">
        <f t="shared" si="47"/>
        <v>7.0666503603519004E-2</v>
      </c>
      <c r="HQ45" s="29">
        <v>150</v>
      </c>
      <c r="HR45" s="30">
        <v>942.47779607693792</v>
      </c>
      <c r="HS45" s="30">
        <f t="shared" si="48"/>
        <v>-9.6471599369412644</v>
      </c>
      <c r="HT45" s="30">
        <f t="shared" si="49"/>
        <v>-9.6692212794570782</v>
      </c>
      <c r="HU45" s="30">
        <f t="shared" si="50"/>
        <v>-2.206134251581382E-2</v>
      </c>
      <c r="HV45" s="30">
        <f t="shared" si="8"/>
        <v>10.268901613863614</v>
      </c>
      <c r="HW45" s="30">
        <f t="shared" si="9"/>
        <v>10.26547742890315</v>
      </c>
      <c r="HX45" s="73">
        <f t="shared" si="10"/>
        <v>-2.2100778663773326</v>
      </c>
      <c r="HY45" s="30">
        <f t="shared" si="51"/>
        <v>10.361629459982947</v>
      </c>
      <c r="HZ45" s="74">
        <f t="shared" si="52"/>
        <v>3.4241849604637054E-3</v>
      </c>
    </row>
    <row r="46" spans="1:234" ht="15" customHeight="1">
      <c r="AI46" s="93" t="s">
        <v>259</v>
      </c>
      <c r="AJ46" s="104">
        <v>318</v>
      </c>
      <c r="AK46" s="104"/>
      <c r="AL46" s="104"/>
      <c r="AM46" s="104"/>
      <c r="AN46" s="30" t="s">
        <v>261</v>
      </c>
      <c r="AP46" s="104">
        <f>AJ46/1000000</f>
        <v>3.1799999999999998E-4</v>
      </c>
      <c r="AQ46" s="104"/>
      <c r="AR46" s="104"/>
      <c r="AS46" s="104"/>
      <c r="AT46" s="30" t="s">
        <v>262</v>
      </c>
      <c r="BE46" s="2"/>
      <c r="BF46" s="2"/>
      <c r="BG46" s="104" t="s">
        <v>33</v>
      </c>
      <c r="BH46" s="110"/>
      <c r="BI46" s="110"/>
      <c r="BJ46" s="110"/>
      <c r="BK46" s="110"/>
      <c r="BL46" s="110"/>
      <c r="BM46" s="110"/>
      <c r="BN46" s="110"/>
      <c r="BO46" s="2"/>
      <c r="BP46" s="2"/>
      <c r="BQ46" s="2"/>
      <c r="BR46" s="2"/>
      <c r="BS46" s="2"/>
      <c r="BT46" s="2"/>
      <c r="BU46" s="2"/>
      <c r="BV46" s="2"/>
      <c r="BW46" s="104" t="s">
        <v>33</v>
      </c>
      <c r="BX46" s="23" t="s">
        <v>304</v>
      </c>
      <c r="BY46" s="23"/>
      <c r="BZ46" s="23"/>
      <c r="CA46" s="23"/>
      <c r="CB46" s="23"/>
      <c r="CC46" s="22"/>
      <c r="CD46" s="22"/>
      <c r="CE46" s="22"/>
      <c r="CF46" s="22"/>
      <c r="CG46" s="22"/>
      <c r="CH46" s="22"/>
      <c r="CI46" s="22"/>
      <c r="CJ46" s="22"/>
      <c r="CK46" s="22"/>
      <c r="CL46" s="22"/>
      <c r="CM46" s="22"/>
      <c r="CN46" s="22"/>
      <c r="CO46" s="22"/>
      <c r="CP46" s="22"/>
      <c r="CQ46" s="109" t="s">
        <v>115</v>
      </c>
      <c r="CR46" s="22" t="s">
        <v>306</v>
      </c>
      <c r="CS46" s="22"/>
      <c r="CT46" s="22"/>
      <c r="CU46" s="22"/>
      <c r="CV46" s="22"/>
      <c r="CW46" s="22"/>
      <c r="CX46" s="22"/>
      <c r="CY46" s="22"/>
      <c r="CZ46" s="22"/>
      <c r="DA46" s="22"/>
      <c r="DB46" s="22"/>
      <c r="DC46" s="22"/>
      <c r="DD46" s="22"/>
      <c r="DE46" s="22"/>
      <c r="DF46" s="22"/>
      <c r="DG46" s="22"/>
      <c r="DH46" s="22"/>
      <c r="DI46" s="22"/>
      <c r="FO46" s="93" t="s">
        <v>216</v>
      </c>
      <c r="FP46" s="30">
        <f>CV27</f>
        <v>0.92374205792632547</v>
      </c>
      <c r="FQ46" s="91" t="s">
        <v>212</v>
      </c>
      <c r="FR46" s="30">
        <f>DC27</f>
        <v>-0.1593606338867585</v>
      </c>
      <c r="FS46" s="30" t="s">
        <v>137</v>
      </c>
      <c r="FT46" s="29">
        <v>170</v>
      </c>
      <c r="FU46" s="27">
        <f t="shared" si="12"/>
        <v>1068.1415022205297</v>
      </c>
      <c r="FV46" s="30">
        <f t="shared" si="53"/>
        <v>380.22733248633398</v>
      </c>
      <c r="FW46" s="30">
        <f t="shared" si="13"/>
        <v>201.8292882577274</v>
      </c>
      <c r="FX46" s="34">
        <f t="shared" si="14"/>
        <v>430.47402473121883</v>
      </c>
      <c r="FY46" s="30">
        <f t="shared" si="15"/>
        <v>55.340879211378507</v>
      </c>
      <c r="FZ46" s="30">
        <f t="shared" si="16"/>
        <v>-100.9146441288637</v>
      </c>
      <c r="GA46" s="34">
        <f t="shared" si="17"/>
        <v>115.09291164769267</v>
      </c>
      <c r="GB46" s="34">
        <f t="shared" si="18"/>
        <v>3.4388391426999343</v>
      </c>
      <c r="GC46" s="34">
        <f t="shared" si="19"/>
        <v>23.796288841165378</v>
      </c>
      <c r="GD46" s="34">
        <f t="shared" si="20"/>
        <v>24.043480972220664</v>
      </c>
      <c r="GE46" s="55">
        <f t="shared" si="21"/>
        <v>298.28058042865007</v>
      </c>
      <c r="GF46" s="55">
        <f t="shared" si="22"/>
        <v>-11.898144420582689</v>
      </c>
      <c r="GG46" s="34">
        <f t="shared" si="23"/>
        <v>298.51778925468653</v>
      </c>
      <c r="GH46" s="30">
        <f t="shared" si="24"/>
        <v>176.55338491489519</v>
      </c>
      <c r="GI46" s="30">
        <f t="shared" si="0"/>
        <v>-296.99916556478047</v>
      </c>
      <c r="GJ46" s="34">
        <f t="shared" si="25"/>
        <v>345.51353384648047</v>
      </c>
      <c r="GK46" s="34">
        <f t="shared" si="26"/>
        <v>298.28058042865007</v>
      </c>
      <c r="GL46" s="34">
        <f t="shared" si="27"/>
        <v>-7501.5425252156583</v>
      </c>
      <c r="GM46" s="34">
        <f t="shared" si="28"/>
        <v>7507.4703837097995</v>
      </c>
      <c r="GN46" s="55">
        <f t="shared" si="1"/>
        <v>603.43883914269998</v>
      </c>
      <c r="GO46" s="55">
        <f t="shared" si="2"/>
        <v>23.796288841165378</v>
      </c>
      <c r="GP46" s="34">
        <f t="shared" si="29"/>
        <v>603.90785385562049</v>
      </c>
      <c r="GQ46" s="55">
        <f t="shared" si="30"/>
        <v>601.44543975233159</v>
      </c>
      <c r="GR46" s="55">
        <f t="shared" si="31"/>
        <v>-24.583887597855234</v>
      </c>
      <c r="GS46" s="34">
        <f t="shared" si="32"/>
        <v>601.9476592929816</v>
      </c>
      <c r="GT46" s="56">
        <f t="shared" si="33"/>
        <v>985.11161138136549</v>
      </c>
      <c r="GU46" s="56">
        <f t="shared" si="33"/>
        <v>201.04168950103755</v>
      </c>
      <c r="GV46" s="34">
        <f t="shared" si="34"/>
        <v>1005.4166538285617</v>
      </c>
      <c r="GW46" s="30">
        <f t="shared" si="35"/>
        <v>217.91363114437982</v>
      </c>
      <c r="GX46" s="30">
        <f t="shared" si="3"/>
        <v>-203.30499282195208</v>
      </c>
      <c r="GY46" s="34">
        <f t="shared" si="36"/>
        <v>298.02562095374083</v>
      </c>
      <c r="GZ46" s="34">
        <f t="shared" si="4"/>
        <v>598.14096363071383</v>
      </c>
      <c r="HA46" s="34">
        <f t="shared" si="4"/>
        <v>-1.4757045642246851</v>
      </c>
      <c r="HB46" s="34">
        <f t="shared" si="37"/>
        <v>598.14278402154093</v>
      </c>
      <c r="HC46" s="33">
        <f t="shared" si="5"/>
        <v>0.36515453589861058</v>
      </c>
      <c r="HD46" s="33">
        <f t="shared" si="6"/>
        <v>-0.33899389096491461</v>
      </c>
      <c r="HE46" s="33">
        <f t="shared" si="38"/>
        <v>0.4982516364236671</v>
      </c>
      <c r="HF46" s="33">
        <f t="shared" si="39"/>
        <v>0.17415115382840071</v>
      </c>
      <c r="HG46" s="33">
        <f t="shared" si="7"/>
        <v>-0.24398383894977405</v>
      </c>
      <c r="HH46" s="33">
        <f t="shared" si="40"/>
        <v>0.2997611349865632</v>
      </c>
      <c r="HI46" s="30">
        <f t="shared" si="54"/>
        <v>0.16356983507666786</v>
      </c>
      <c r="HJ46" s="30">
        <f t="shared" si="41"/>
        <v>-0.24946168641921404</v>
      </c>
      <c r="HK46" s="33">
        <f t="shared" si="42"/>
        <v>0.2983055881778392</v>
      </c>
      <c r="HL46" s="61">
        <f t="shared" si="43"/>
        <v>0.15261903136946323</v>
      </c>
      <c r="HM46" s="61">
        <f t="shared" si="44"/>
        <v>-0.25405852003569973</v>
      </c>
      <c r="HN46" s="33">
        <f t="shared" si="45"/>
        <v>0.29637526944548398</v>
      </c>
      <c r="HO46" s="30">
        <f t="shared" si="46"/>
        <v>-10.464493510810639</v>
      </c>
      <c r="HP46" s="30">
        <f t="shared" si="47"/>
        <v>7.7880192422698613E-2</v>
      </c>
      <c r="HQ46" s="29">
        <v>170</v>
      </c>
      <c r="HR46" s="30">
        <v>1068.1415022205297</v>
      </c>
      <c r="HS46" s="30">
        <f t="shared" si="48"/>
        <v>-10.542373703233338</v>
      </c>
      <c r="HT46" s="30">
        <f t="shared" si="49"/>
        <v>-10.563160763614885</v>
      </c>
      <c r="HU46" s="30">
        <f t="shared" si="50"/>
        <v>-2.0787060381547207E-2</v>
      </c>
      <c r="HV46" s="30">
        <f t="shared" si="8"/>
        <v>9.374962129705807</v>
      </c>
      <c r="HW46" s="30">
        <f t="shared" si="9"/>
        <v>9.3702636626110767</v>
      </c>
      <c r="HX46" s="73">
        <f t="shared" si="10"/>
        <v>-1.8572159784590667</v>
      </c>
      <c r="HY46" s="30">
        <f t="shared" si="51"/>
        <v>9.4736293825100528</v>
      </c>
      <c r="HZ46" s="74">
        <f t="shared" si="52"/>
        <v>4.6984670947303186E-3</v>
      </c>
    </row>
    <row r="47" spans="1:234" ht="15" customHeight="1" thickBot="1">
      <c r="X47" s="89"/>
      <c r="Y47" s="89"/>
      <c r="Z47" s="89"/>
      <c r="AI47" s="93" t="s">
        <v>260</v>
      </c>
      <c r="AJ47" s="104">
        <v>75</v>
      </c>
      <c r="AK47" s="104"/>
      <c r="AL47" s="104"/>
      <c r="AM47" s="104"/>
      <c r="AN47" s="30" t="s">
        <v>261</v>
      </c>
      <c r="AP47" s="104">
        <f>AJ47/1000000</f>
        <v>7.4999999999999993E-5</v>
      </c>
      <c r="AQ47" s="104"/>
      <c r="AR47" s="104"/>
      <c r="AS47" s="104"/>
      <c r="AT47" s="30" t="s">
        <v>262</v>
      </c>
      <c r="BE47" s="2"/>
      <c r="BF47" s="2"/>
      <c r="BG47" s="104"/>
      <c r="BH47" s="116">
        <f>(CA40+BC42)^2+(CF40+BH42)^2</f>
        <v>16212023120.103348</v>
      </c>
      <c r="BI47" s="116"/>
      <c r="BJ47" s="116"/>
      <c r="BK47" s="116"/>
      <c r="BL47" s="116"/>
      <c r="BM47" s="116"/>
      <c r="BN47" s="116"/>
      <c r="BO47" s="2"/>
      <c r="BP47" s="2"/>
      <c r="BQ47" s="2"/>
      <c r="BR47" s="2"/>
      <c r="BS47" s="2"/>
      <c r="BT47" s="2"/>
      <c r="BU47" s="2"/>
      <c r="BV47" s="2"/>
      <c r="BW47" s="104"/>
      <c r="BX47" s="112" t="s">
        <v>122</v>
      </c>
      <c r="BY47" s="112"/>
      <c r="BZ47" s="112"/>
      <c r="CA47" s="112"/>
      <c r="CB47" s="112"/>
      <c r="CC47" s="112"/>
      <c r="CD47" s="112"/>
      <c r="CE47" s="112"/>
      <c r="CF47" s="112"/>
      <c r="CG47" s="112"/>
      <c r="CH47" s="112"/>
      <c r="CI47" s="112"/>
      <c r="CJ47" s="112"/>
      <c r="CK47" s="112"/>
      <c r="CL47" s="112"/>
      <c r="CM47" s="22"/>
      <c r="CN47" s="22"/>
      <c r="CO47" s="22"/>
      <c r="CP47" s="22"/>
      <c r="CQ47" s="109"/>
      <c r="CR47" s="112" t="s">
        <v>122</v>
      </c>
      <c r="CS47" s="112"/>
      <c r="CT47" s="112"/>
      <c r="CU47" s="112"/>
      <c r="CV47" s="112"/>
      <c r="CW47" s="112"/>
      <c r="CX47" s="112"/>
      <c r="CY47" s="112"/>
      <c r="CZ47" s="112"/>
      <c r="DA47" s="112"/>
      <c r="DB47" s="112"/>
      <c r="DC47" s="112"/>
      <c r="DD47" s="112"/>
      <c r="DE47" s="112"/>
      <c r="DF47" s="112"/>
      <c r="DG47" s="22"/>
      <c r="DH47" s="22"/>
      <c r="DI47" s="22"/>
      <c r="FT47" s="29">
        <v>200</v>
      </c>
      <c r="FU47" s="27">
        <f t="shared" si="12"/>
        <v>1256.6370614359173</v>
      </c>
      <c r="FV47" s="30">
        <f t="shared" si="53"/>
        <v>405.45913204172479</v>
      </c>
      <c r="FW47" s="30">
        <f t="shared" si="13"/>
        <v>183.31629482386657</v>
      </c>
      <c r="FX47" s="34">
        <f t="shared" si="14"/>
        <v>444.97412475781061</v>
      </c>
      <c r="FY47" s="30">
        <f t="shared" si="15"/>
        <v>42.72497943368306</v>
      </c>
      <c r="FZ47" s="30">
        <f t="shared" si="16"/>
        <v>-91.658147411933285</v>
      </c>
      <c r="GA47" s="34">
        <f t="shared" si="17"/>
        <v>101.1268503148216</v>
      </c>
      <c r="GB47" s="34">
        <f t="shared" si="18"/>
        <v>3.8026144716527943</v>
      </c>
      <c r="GC47" s="34">
        <f t="shared" si="19"/>
        <v>27.978562553008594</v>
      </c>
      <c r="GD47" s="34">
        <f t="shared" si="20"/>
        <v>28.235790043004606</v>
      </c>
      <c r="GE47" s="55">
        <f t="shared" si="21"/>
        <v>298.09869276417362</v>
      </c>
      <c r="GF47" s="55">
        <f t="shared" si="22"/>
        <v>-13.989281276504297</v>
      </c>
      <c r="GG47" s="34">
        <f t="shared" si="23"/>
        <v>298.42675921964894</v>
      </c>
      <c r="GH47" s="30">
        <f t="shared" si="24"/>
        <v>163.93737844083748</v>
      </c>
      <c r="GI47" s="30">
        <f t="shared" si="0"/>
        <v>-258.32999063264037</v>
      </c>
      <c r="GJ47" s="34">
        <f t="shared" si="25"/>
        <v>305.9572651700143</v>
      </c>
      <c r="GK47" s="34">
        <f t="shared" si="26"/>
        <v>298.09869276417362</v>
      </c>
      <c r="GL47" s="34">
        <f t="shared" si="27"/>
        <v>-6380.1870049523186</v>
      </c>
      <c r="GM47" s="34">
        <f t="shared" si="28"/>
        <v>6387.1471760708746</v>
      </c>
      <c r="GN47" s="55">
        <f t="shared" si="1"/>
        <v>603.80261447165276</v>
      </c>
      <c r="GO47" s="55">
        <f t="shared" si="2"/>
        <v>27.978562553008594</v>
      </c>
      <c r="GP47" s="34">
        <f t="shared" si="29"/>
        <v>604.45049193903048</v>
      </c>
      <c r="GQ47" s="55">
        <f t="shared" si="30"/>
        <v>601.04572432834209</v>
      </c>
      <c r="GR47" s="55">
        <f t="shared" si="31"/>
        <v>-28.900609113411491</v>
      </c>
      <c r="GS47" s="34">
        <f t="shared" si="32"/>
        <v>601.74014984917494</v>
      </c>
      <c r="GT47" s="56">
        <f t="shared" si="33"/>
        <v>1010.3074708417197</v>
      </c>
      <c r="GU47" s="56">
        <f t="shared" si="33"/>
        <v>182.39424826346368</v>
      </c>
      <c r="GV47" s="34">
        <f t="shared" si="34"/>
        <v>1026.6395898455241</v>
      </c>
      <c r="GW47" s="30">
        <f t="shared" si="35"/>
        <v>193.09517233998838</v>
      </c>
      <c r="GX47" s="30">
        <f t="shared" si="3"/>
        <v>-184.31305825894955</v>
      </c>
      <c r="GY47" s="34">
        <f t="shared" si="36"/>
        <v>266.94016000927388</v>
      </c>
      <c r="GZ47" s="34">
        <f t="shared" si="4"/>
        <v>598.55430438171311</v>
      </c>
      <c r="HA47" s="34">
        <f t="shared" si="4"/>
        <v>-0.9967634350829826</v>
      </c>
      <c r="HB47" s="34">
        <f t="shared" si="37"/>
        <v>598.55513432867815</v>
      </c>
      <c r="HC47" s="33">
        <f t="shared" si="5"/>
        <v>0.32311449159717259</v>
      </c>
      <c r="HD47" s="33">
        <f t="shared" si="6"/>
        <v>-0.30739230877044099</v>
      </c>
      <c r="HE47" s="33">
        <f t="shared" si="38"/>
        <v>0.44597422142016396</v>
      </c>
      <c r="HF47" s="33">
        <f t="shared" si="39"/>
        <v>0.15483772179087216</v>
      </c>
      <c r="HG47" s="33">
        <f t="shared" si="7"/>
        <v>-0.212277123532983</v>
      </c>
      <c r="HH47" s="33">
        <f t="shared" si="40"/>
        <v>0.26274759231023381</v>
      </c>
      <c r="HI47" s="30">
        <f t="shared" si="54"/>
        <v>0.14405384776569938</v>
      </c>
      <c r="HJ47" s="30">
        <f t="shared" si="41"/>
        <v>-0.21812135229239363</v>
      </c>
      <c r="HK47" s="33">
        <f t="shared" si="42"/>
        <v>0.26139708372888515</v>
      </c>
      <c r="HL47" s="61">
        <f t="shared" si="43"/>
        <v>0.13281795502469418</v>
      </c>
      <c r="HM47" s="61">
        <f t="shared" si="44"/>
        <v>-0.22290209351946411</v>
      </c>
      <c r="HN47" s="33">
        <f t="shared" si="45"/>
        <v>0.25947245031467525</v>
      </c>
      <c r="HO47" s="30">
        <f t="shared" si="46"/>
        <v>-11.609225098852288</v>
      </c>
      <c r="HP47" s="30">
        <f t="shared" si="47"/>
        <v>8.8874035949729091E-2</v>
      </c>
      <c r="HQ47" s="29">
        <v>200</v>
      </c>
      <c r="HR47" s="30">
        <v>1256.6370614359173</v>
      </c>
      <c r="HS47" s="30">
        <f t="shared" si="48"/>
        <v>-11.698099134802018</v>
      </c>
      <c r="HT47" s="30">
        <f t="shared" si="49"/>
        <v>-11.718174938312128</v>
      </c>
      <c r="HU47" s="30">
        <f t="shared" si="50"/>
        <v>-2.0075803510110291E-2</v>
      </c>
      <c r="HV47" s="30">
        <f t="shared" si="8"/>
        <v>8.2199479550085641</v>
      </c>
      <c r="HW47" s="30">
        <f t="shared" si="9"/>
        <v>8.2145382310423969</v>
      </c>
      <c r="HX47" s="73">
        <f t="shared" si="10"/>
        <v>-1.4448656713218497</v>
      </c>
      <c r="HY47" s="30">
        <f t="shared" si="51"/>
        <v>8.3288977944684035</v>
      </c>
      <c r="HZ47" s="74">
        <f t="shared" si="52"/>
        <v>5.4097239661672347E-3</v>
      </c>
    </row>
    <row r="48" spans="1:234" ht="15" customHeight="1">
      <c r="BB48" s="108" t="s">
        <v>126</v>
      </c>
      <c r="BC48" s="108"/>
      <c r="BD48" s="108"/>
      <c r="BE48" s="108"/>
      <c r="BF48" s="108"/>
      <c r="BG48" s="108" t="s">
        <v>33</v>
      </c>
      <c r="BH48" s="151">
        <f>BX48/BY49</f>
        <v>602.48600471203088</v>
      </c>
      <c r="BI48" s="152"/>
      <c r="BJ48" s="152"/>
      <c r="BK48" s="153"/>
      <c r="BL48" s="109" t="s">
        <v>115</v>
      </c>
      <c r="BM48" s="151">
        <f>CR48/CR49</f>
        <v>-1.4489274890099093</v>
      </c>
      <c r="BN48" s="152"/>
      <c r="BO48" s="152"/>
      <c r="BP48" s="153"/>
      <c r="BW48" s="104" t="s">
        <v>33</v>
      </c>
      <c r="BX48" s="106">
        <f>(CA40*BC42-CF40*BH42)*(CA40+BC42)+(CF40+BH42)*(CF40*BC42+CA40*BH42)</f>
        <v>9767517037930.1387</v>
      </c>
      <c r="BY48" s="106"/>
      <c r="BZ48" s="106"/>
      <c r="CA48" s="106"/>
      <c r="CB48" s="106"/>
      <c r="CC48" s="106"/>
      <c r="CD48" s="106"/>
      <c r="CE48" s="14"/>
      <c r="CF48" s="14"/>
      <c r="CG48" s="14"/>
      <c r="CH48" s="14"/>
      <c r="CI48" s="14"/>
      <c r="CJ48" s="14"/>
      <c r="CK48" s="14"/>
      <c r="CL48" s="14"/>
      <c r="CM48" s="14"/>
      <c r="CN48" s="14"/>
      <c r="CO48" s="14"/>
      <c r="CP48" s="14"/>
      <c r="CQ48" s="160" t="s">
        <v>115</v>
      </c>
      <c r="CR48" s="106">
        <f>(CF40*BC42+CA40*BH42)*(CA40+BC42)-(CF40+BH42)*(CA40*BC42-CF40*BH42)</f>
        <v>-23490045951.181938</v>
      </c>
      <c r="CS48" s="106"/>
      <c r="CT48" s="106"/>
      <c r="CU48" s="106"/>
      <c r="CV48" s="106"/>
      <c r="CW48" s="106"/>
      <c r="CX48" s="106"/>
      <c r="CY48" s="106"/>
      <c r="CZ48" s="106"/>
      <c r="FO48" s="93" t="s">
        <v>217</v>
      </c>
      <c r="FP48" s="30">
        <f>FP49+FP58</f>
        <v>621.63389297257913</v>
      </c>
      <c r="FQ48" s="91" t="s">
        <v>212</v>
      </c>
      <c r="FR48" s="30">
        <f>FR49+FR58</f>
        <v>-8.9841153464186334</v>
      </c>
      <c r="FT48" s="29">
        <v>250</v>
      </c>
      <c r="FU48" s="27">
        <f t="shared" si="12"/>
        <v>1570.7963267948965</v>
      </c>
      <c r="FV48" s="30">
        <f t="shared" si="53"/>
        <v>432.4656032042837</v>
      </c>
      <c r="FW48" s="30">
        <f t="shared" si="13"/>
        <v>156.72394353136821</v>
      </c>
      <c r="FX48" s="34">
        <f t="shared" si="14"/>
        <v>459.9879263968441</v>
      </c>
      <c r="FY48" s="30">
        <f t="shared" si="15"/>
        <v>29.221743852403609</v>
      </c>
      <c r="FZ48" s="30">
        <f t="shared" si="16"/>
        <v>-78.361971765684103</v>
      </c>
      <c r="GA48" s="34">
        <f t="shared" si="17"/>
        <v>83.633180812291016</v>
      </c>
      <c r="GB48" s="34">
        <f t="shared" si="18"/>
        <v>4.53863748393427</v>
      </c>
      <c r="GC48" s="34">
        <f t="shared" si="19"/>
        <v>34.930027754758015</v>
      </c>
      <c r="GD48" s="34">
        <f t="shared" si="20"/>
        <v>35.22365780492904</v>
      </c>
      <c r="GE48" s="55">
        <f t="shared" si="21"/>
        <v>297.73068125803286</v>
      </c>
      <c r="GF48" s="55">
        <f t="shared" si="22"/>
        <v>-17.465013877379008</v>
      </c>
      <c r="GG48" s="34">
        <f t="shared" si="23"/>
        <v>298.24249407505528</v>
      </c>
      <c r="GH48" s="30">
        <f t="shared" si="24"/>
        <v>150.43404285334611</v>
      </c>
      <c r="GI48" s="30">
        <f t="shared" si="0"/>
        <v>-211.69944634238317</v>
      </c>
      <c r="GJ48" s="34">
        <f t="shared" si="25"/>
        <v>259.70571197198177</v>
      </c>
      <c r="GK48" s="34">
        <f t="shared" si="26"/>
        <v>297.73068125803286</v>
      </c>
      <c r="GL48" s="34">
        <f t="shared" si="27"/>
        <v>-5110.4231928180297</v>
      </c>
      <c r="GM48" s="34">
        <f t="shared" si="28"/>
        <v>5119.0886657934334</v>
      </c>
      <c r="GN48" s="55">
        <f t="shared" si="1"/>
        <v>604.53863748393428</v>
      </c>
      <c r="GO48" s="55">
        <f t="shared" si="2"/>
        <v>34.930027754758015</v>
      </c>
      <c r="GP48" s="34">
        <f t="shared" si="29"/>
        <v>605.54691895003475</v>
      </c>
      <c r="GQ48" s="55">
        <f t="shared" si="30"/>
        <v>600.23774791716232</v>
      </c>
      <c r="GR48" s="55">
        <f t="shared" si="31"/>
        <v>-36.071209948237765</v>
      </c>
      <c r="GS48" s="34">
        <f t="shared" si="32"/>
        <v>601.32061848218439</v>
      </c>
      <c r="GT48" s="56">
        <f t="shared" si="33"/>
        <v>1037.2419886053804</v>
      </c>
      <c r="GU48" s="56">
        <f t="shared" si="33"/>
        <v>155.58276133788846</v>
      </c>
      <c r="GV48" s="34">
        <f t="shared" si="34"/>
        <v>1048.845526544098</v>
      </c>
      <c r="GW48" s="30">
        <f t="shared" si="35"/>
        <v>166.54455484994511</v>
      </c>
      <c r="GX48" s="30">
        <f t="shared" si="3"/>
        <v>-157.30946626184422</v>
      </c>
      <c r="GY48" s="34">
        <f t="shared" si="36"/>
        <v>229.09246370352884</v>
      </c>
      <c r="GZ48" s="34">
        <f t="shared" si="4"/>
        <v>599.01015805422878</v>
      </c>
      <c r="HA48" s="34">
        <f t="shared" si="4"/>
        <v>-0.58552273047601489</v>
      </c>
      <c r="HB48" s="34">
        <f t="shared" si="37"/>
        <v>599.01044422365464</v>
      </c>
      <c r="HC48" s="33">
        <f t="shared" si="5"/>
        <v>0.27828937587924768</v>
      </c>
      <c r="HD48" s="33">
        <f t="shared" si="6"/>
        <v>-0.26234366712090107</v>
      </c>
      <c r="HE48" s="33">
        <f t="shared" si="38"/>
        <v>0.3824515347147967</v>
      </c>
      <c r="HF48" s="33">
        <f t="shared" si="39"/>
        <v>0.13592339216730456</v>
      </c>
      <c r="HG48" s="33">
        <f t="shared" si="7"/>
        <v>-0.17365684408960563</v>
      </c>
      <c r="HH48" s="33">
        <f t="shared" si="40"/>
        <v>0.22052634318246078</v>
      </c>
      <c r="HI48" s="30">
        <f t="shared" si="54"/>
        <v>0.12488584153431923</v>
      </c>
      <c r="HJ48" s="30">
        <f t="shared" si="41"/>
        <v>-0.18022495480147729</v>
      </c>
      <c r="HK48" s="33">
        <f t="shared" si="42"/>
        <v>0.21926583808001104</v>
      </c>
      <c r="HL48" s="61">
        <f t="shared" si="43"/>
        <v>0.11323505943758133</v>
      </c>
      <c r="HM48" s="61">
        <f t="shared" si="44"/>
        <v>-0.18541457848975215</v>
      </c>
      <c r="HN48" s="33">
        <f t="shared" si="45"/>
        <v>0.21725732347234014</v>
      </c>
      <c r="HO48" s="30">
        <f t="shared" si="46"/>
        <v>-13.130790480800718</v>
      </c>
      <c r="HP48" s="30">
        <f t="shared" si="47"/>
        <v>0.1094992647974351</v>
      </c>
      <c r="HQ48" s="29">
        <v>250</v>
      </c>
      <c r="HR48" s="30">
        <v>1570.7963267948965</v>
      </c>
      <c r="HS48" s="30">
        <f t="shared" si="48"/>
        <v>-13.240289745598153</v>
      </c>
      <c r="HT48" s="30">
        <f t="shared" si="49"/>
        <v>-13.26051150218716</v>
      </c>
      <c r="HU48" s="30">
        <f t="shared" si="50"/>
        <v>-2.0221756589007711E-2</v>
      </c>
      <c r="HV48" s="30">
        <f t="shared" si="8"/>
        <v>6.6776113911335315</v>
      </c>
      <c r="HW48" s="30">
        <f t="shared" si="9"/>
        <v>6.6723476202462617</v>
      </c>
      <c r="HX48" s="73">
        <f t="shared" si="10"/>
        <v>-0.9895557763453553</v>
      </c>
      <c r="HY48" s="30">
        <f t="shared" si="51"/>
        <v>6.8073324125199743</v>
      </c>
      <c r="HZ48" s="74">
        <f t="shared" si="52"/>
        <v>5.2637708872698141E-3</v>
      </c>
    </row>
    <row r="49" spans="7:234" ht="15" customHeight="1" thickBot="1">
      <c r="BB49" s="108"/>
      <c r="BC49" s="108"/>
      <c r="BD49" s="108"/>
      <c r="BE49" s="108"/>
      <c r="BF49" s="108"/>
      <c r="BG49" s="108"/>
      <c r="BH49" s="159"/>
      <c r="BI49" s="155"/>
      <c r="BJ49" s="155"/>
      <c r="BK49" s="156"/>
      <c r="BL49" s="108"/>
      <c r="BM49" s="159"/>
      <c r="BN49" s="155"/>
      <c r="BO49" s="155"/>
      <c r="BP49" s="166"/>
      <c r="BW49" s="104"/>
      <c r="BX49" s="14"/>
      <c r="BY49" s="108">
        <f>BH47</f>
        <v>16212023120.103348</v>
      </c>
      <c r="BZ49" s="108"/>
      <c r="CA49" s="108"/>
      <c r="CB49" s="108"/>
      <c r="CC49" s="108"/>
      <c r="CD49" s="108"/>
      <c r="CE49" s="14"/>
      <c r="CF49" s="14"/>
      <c r="CG49" s="14"/>
      <c r="CH49" s="14"/>
      <c r="CI49" s="14"/>
      <c r="CJ49" s="14"/>
      <c r="CK49" s="14"/>
      <c r="CL49" s="14"/>
      <c r="CM49" s="14"/>
      <c r="CN49" s="14"/>
      <c r="CO49" s="14"/>
      <c r="CP49" s="14"/>
      <c r="CQ49" s="160"/>
      <c r="CR49" s="108">
        <f>BY49</f>
        <v>16212023120.103348</v>
      </c>
      <c r="CS49" s="108"/>
      <c r="CT49" s="108"/>
      <c r="CU49" s="108"/>
      <c r="CV49" s="108"/>
      <c r="CW49" s="108"/>
      <c r="CX49" s="108"/>
      <c r="CY49" s="108"/>
      <c r="CZ49" s="108"/>
      <c r="FO49" s="93" t="s">
        <v>13</v>
      </c>
      <c r="FP49" s="30">
        <f>CX30</f>
        <v>17.635033137809874</v>
      </c>
      <c r="FQ49" s="91" t="s">
        <v>212</v>
      </c>
      <c r="FR49" s="30">
        <f>DC30</f>
        <v>50.765879736439267</v>
      </c>
      <c r="FT49" s="29">
        <v>300</v>
      </c>
      <c r="FU49" s="27">
        <f t="shared" si="12"/>
        <v>1884.9555921538758</v>
      </c>
      <c r="FV49" s="30">
        <f t="shared" si="53"/>
        <v>448.75069567563406</v>
      </c>
      <c r="FW49" s="30">
        <f t="shared" si="13"/>
        <v>135.66397653707293</v>
      </c>
      <c r="FX49" s="34">
        <f t="shared" si="14"/>
        <v>468.80902444302097</v>
      </c>
      <c r="FY49" s="30">
        <f t="shared" si="15"/>
        <v>21.079197616728436</v>
      </c>
      <c r="FZ49" s="30">
        <f t="shared" si="16"/>
        <v>-67.831988268536463</v>
      </c>
      <c r="GA49" s="34">
        <f t="shared" si="17"/>
        <v>71.031761942302666</v>
      </c>
      <c r="GB49" s="34">
        <f t="shared" si="18"/>
        <v>5.43575696772184</v>
      </c>
      <c r="GC49" s="34">
        <f t="shared" si="19"/>
        <v>41.852882793302321</v>
      </c>
      <c r="GD49" s="34">
        <f t="shared" si="20"/>
        <v>42.204398490228932</v>
      </c>
      <c r="GE49" s="55">
        <f t="shared" si="21"/>
        <v>297.28212151613911</v>
      </c>
      <c r="GF49" s="55">
        <f t="shared" si="22"/>
        <v>-20.92644139665116</v>
      </c>
      <c r="GG49" s="34">
        <f t="shared" si="23"/>
        <v>298.01774397284464</v>
      </c>
      <c r="GH49" s="30">
        <f t="shared" si="24"/>
        <v>142.29144229330888</v>
      </c>
      <c r="GI49" s="30">
        <f t="shared" si="0"/>
        <v>-178.94655041584605</v>
      </c>
      <c r="GJ49" s="34">
        <f t="shared" si="25"/>
        <v>228.62353871734419</v>
      </c>
      <c r="GK49" s="34">
        <f t="shared" si="26"/>
        <v>297.28212151613911</v>
      </c>
      <c r="GL49" s="34">
        <f t="shared" si="27"/>
        <v>-4265.0582571805271</v>
      </c>
      <c r="GM49" s="34">
        <f t="shared" si="28"/>
        <v>4275.4062493425035</v>
      </c>
      <c r="GN49" s="55">
        <f t="shared" si="1"/>
        <v>605.43575696772189</v>
      </c>
      <c r="GO49" s="55">
        <f t="shared" si="2"/>
        <v>41.852882793302321</v>
      </c>
      <c r="GP49" s="34">
        <f t="shared" si="29"/>
        <v>606.88064692589126</v>
      </c>
      <c r="GQ49" s="55">
        <f t="shared" si="30"/>
        <v>599.25428821262972</v>
      </c>
      <c r="GR49" s="55">
        <f t="shared" si="31"/>
        <v>-43.205890771215451</v>
      </c>
      <c r="GS49" s="34">
        <f t="shared" si="32"/>
        <v>600.80982926260424</v>
      </c>
      <c r="GT49" s="56">
        <f t="shared" si="33"/>
        <v>1053.4407408559855</v>
      </c>
      <c r="GU49" s="56">
        <f t="shared" si="33"/>
        <v>134.31096855915979</v>
      </c>
      <c r="GV49" s="34">
        <f t="shared" si="34"/>
        <v>1061.9683755981189</v>
      </c>
      <c r="GW49" s="30">
        <f t="shared" si="35"/>
        <v>150.53767461490679</v>
      </c>
      <c r="GX49" s="30">
        <f t="shared" si="3"/>
        <v>-136.04965292926084</v>
      </c>
      <c r="GY49" s="34">
        <f t="shared" si="36"/>
        <v>202.90662764098141</v>
      </c>
      <c r="GZ49" s="34">
        <f t="shared" si="4"/>
        <v>599.2883702905408</v>
      </c>
      <c r="HA49" s="34">
        <f t="shared" si="4"/>
        <v>-0.38567639218791783</v>
      </c>
      <c r="HB49" s="34">
        <f t="shared" si="37"/>
        <v>599.28849439295243</v>
      </c>
      <c r="HC49" s="33">
        <f t="shared" si="5"/>
        <v>0.25134004836827595</v>
      </c>
      <c r="HD49" s="33">
        <f t="shared" si="6"/>
        <v>-0.22685692522329884</v>
      </c>
      <c r="HE49" s="33">
        <f t="shared" si="38"/>
        <v>0.33857921441744865</v>
      </c>
      <c r="HF49" s="33">
        <f t="shared" si="39"/>
        <v>0.12530081538709256</v>
      </c>
      <c r="HG49" s="33">
        <f t="shared" si="7"/>
        <v>-0.14651746163133922</v>
      </c>
      <c r="HH49" s="33">
        <f t="shared" si="40"/>
        <v>0.1927891617792899</v>
      </c>
      <c r="HI49" s="30">
        <f t="shared" si="54"/>
        <v>0.11404993249118726</v>
      </c>
      <c r="HJ49" s="30">
        <f t="shared" si="41"/>
        <v>-0.15389808513793482</v>
      </c>
      <c r="HK49" s="33">
        <f t="shared" si="42"/>
        <v>0.1915515797647396</v>
      </c>
      <c r="HL49" s="61">
        <f t="shared" si="43"/>
        <v>0.10199532183829417</v>
      </c>
      <c r="HM49" s="61">
        <f t="shared" si="44"/>
        <v>-0.15956713527621177</v>
      </c>
      <c r="HN49" s="33">
        <f t="shared" si="45"/>
        <v>0.18937982030077563</v>
      </c>
      <c r="HO49" s="30">
        <f t="shared" si="46"/>
        <v>-14.298347698264804</v>
      </c>
      <c r="HP49" s="30">
        <f t="shared" si="47"/>
        <v>0.13403127610032151</v>
      </c>
      <c r="HQ49" s="29">
        <v>300</v>
      </c>
      <c r="HR49" s="30">
        <v>1884.9555921538758</v>
      </c>
      <c r="HS49" s="30">
        <f t="shared" si="48"/>
        <v>-14.432378974365125</v>
      </c>
      <c r="HT49" s="30">
        <f t="shared" si="49"/>
        <v>-14.453325997566324</v>
      </c>
      <c r="HU49" s="30">
        <f t="shared" si="50"/>
        <v>-2.0947023201198789E-2</v>
      </c>
      <c r="HV49" s="30">
        <f t="shared" si="8"/>
        <v>5.4847968957543678</v>
      </c>
      <c r="HW49" s="30">
        <f t="shared" si="9"/>
        <v>5.4802583914792891</v>
      </c>
      <c r="HX49" s="73">
        <f t="shared" si="10"/>
        <v>-0.71150560704757027</v>
      </c>
      <c r="HY49" s="30">
        <f t="shared" si="51"/>
        <v>5.6397751950558881</v>
      </c>
      <c r="HZ49" s="74">
        <f t="shared" si="52"/>
        <v>4.5385042750787363E-3</v>
      </c>
    </row>
    <row r="50" spans="7:234" ht="15" customHeight="1">
      <c r="G50" s="30" t="s">
        <v>236</v>
      </c>
      <c r="AW50" s="104" t="s">
        <v>60</v>
      </c>
      <c r="AX50" s="104"/>
      <c r="AY50" s="104" t="s">
        <v>131</v>
      </c>
      <c r="AZ50" s="104"/>
      <c r="BA50" s="104"/>
      <c r="BB50" s="104"/>
      <c r="BC50" s="104" t="s">
        <v>33</v>
      </c>
      <c r="BD50" s="104" t="s">
        <v>132</v>
      </c>
      <c r="BE50" s="104"/>
      <c r="BF50" s="104"/>
      <c r="BG50" s="104"/>
      <c r="BH50" s="104"/>
      <c r="BI50" s="104"/>
      <c r="BJ50" s="104"/>
      <c r="BK50" s="104"/>
      <c r="BL50" s="104"/>
      <c r="BM50" s="104"/>
      <c r="BN50" s="104"/>
      <c r="BO50" s="104" t="s">
        <v>33</v>
      </c>
      <c r="BP50" s="151">
        <f>CX30+AJ34</f>
        <v>617.63503313780984</v>
      </c>
      <c r="BQ50" s="152"/>
      <c r="BR50" s="152"/>
      <c r="BS50" s="152"/>
      <c r="BT50" s="153"/>
      <c r="BU50" s="109" t="s">
        <v>115</v>
      </c>
      <c r="BV50" s="151">
        <f>DC30</f>
        <v>50.765879736439267</v>
      </c>
      <c r="BW50" s="152"/>
      <c r="BX50" s="152"/>
      <c r="BY50" s="152"/>
      <c r="BZ50" s="152"/>
      <c r="CA50" s="153"/>
      <c r="CB50" s="108" t="s">
        <v>33</v>
      </c>
      <c r="CC50" s="108" t="s">
        <v>133</v>
      </c>
      <c r="CD50" s="108"/>
      <c r="CE50" s="108"/>
      <c r="CF50" s="108"/>
      <c r="FO50" s="93" t="s">
        <v>203</v>
      </c>
      <c r="FP50" s="30">
        <f>CU32</f>
        <v>236.63702888564055</v>
      </c>
      <c r="FQ50" s="91" t="s">
        <v>212</v>
      </c>
      <c r="FR50" s="30">
        <f>CZ32</f>
        <v>-25.382939868219633</v>
      </c>
      <c r="FT50" s="29">
        <v>400</v>
      </c>
      <c r="FU50" s="27">
        <f t="shared" si="12"/>
        <v>2513.2741228718346</v>
      </c>
      <c r="FV50" s="30">
        <f t="shared" si="53"/>
        <v>466.24471450109399</v>
      </c>
      <c r="FW50" s="30">
        <f t="shared" si="13"/>
        <v>105.82526094069131</v>
      </c>
      <c r="FX50" s="34">
        <f t="shared" si="14"/>
        <v>478.10367040357687</v>
      </c>
      <c r="FY50" s="30">
        <f t="shared" si="15"/>
        <v>12.332188203998452</v>
      </c>
      <c r="FZ50" s="30">
        <f t="shared" si="16"/>
        <v>-52.912630470345654</v>
      </c>
      <c r="GA50" s="34">
        <f t="shared" si="17"/>
        <v>54.330740186290392</v>
      </c>
      <c r="GB50" s="34">
        <f t="shared" si="18"/>
        <v>7.7071825580791522</v>
      </c>
      <c r="GC50" s="34">
        <f t="shared" si="19"/>
        <v>55.590655191521499</v>
      </c>
      <c r="GD50" s="34">
        <f t="shared" si="20"/>
        <v>56.122380630245857</v>
      </c>
      <c r="GE50" s="55">
        <f t="shared" si="21"/>
        <v>296.14640872096044</v>
      </c>
      <c r="GF50" s="55">
        <f t="shared" si="22"/>
        <v>-27.79532759576075</v>
      </c>
      <c r="GG50" s="34">
        <f t="shared" si="23"/>
        <v>297.4479376873839</v>
      </c>
      <c r="GH50" s="30">
        <f t="shared" si="24"/>
        <v>133.54437886487796</v>
      </c>
      <c r="GI50" s="30">
        <f t="shared" si="0"/>
        <v>-136.24855208087283</v>
      </c>
      <c r="GJ50" s="34">
        <f t="shared" si="25"/>
        <v>190.78199356999176</v>
      </c>
      <c r="GK50" s="34">
        <f t="shared" si="26"/>
        <v>296.14640872096044</v>
      </c>
      <c r="GL50" s="34">
        <f t="shared" si="27"/>
        <v>-3210.8941894336676</v>
      </c>
      <c r="GM50" s="34">
        <f t="shared" si="28"/>
        <v>3224.5223198385852</v>
      </c>
      <c r="GN50" s="55">
        <f t="shared" si="1"/>
        <v>607.70718255807913</v>
      </c>
      <c r="GO50" s="55">
        <f t="shared" si="2"/>
        <v>55.590655191521499</v>
      </c>
      <c r="GP50" s="34">
        <f t="shared" si="29"/>
        <v>610.24449254155593</v>
      </c>
      <c r="GQ50" s="55">
        <f t="shared" si="30"/>
        <v>596.77075492624817</v>
      </c>
      <c r="GR50" s="55">
        <f t="shared" si="31"/>
        <v>-57.340720674619241</v>
      </c>
      <c r="GS50" s="34">
        <f t="shared" si="32"/>
        <v>599.51921752578448</v>
      </c>
      <c r="GT50" s="56">
        <f t="shared" si="33"/>
        <v>1070.7226519854212</v>
      </c>
      <c r="GU50" s="56">
        <f t="shared" si="33"/>
        <v>104.07519545759357</v>
      </c>
      <c r="GV50" s="34">
        <f t="shared" si="34"/>
        <v>1075.76886169113</v>
      </c>
      <c r="GW50" s="30">
        <f t="shared" si="35"/>
        <v>133.34303452784786</v>
      </c>
      <c r="GX50" s="30">
        <f t="shared" si="3"/>
        <v>-106.03600148990529</v>
      </c>
      <c r="GY50" s="34">
        <f t="shared" si="36"/>
        <v>170.36431101924495</v>
      </c>
      <c r="GZ50" s="34">
        <f t="shared" si="4"/>
        <v>599.58774902894186</v>
      </c>
      <c r="HA50" s="34">
        <f t="shared" si="4"/>
        <v>-0.21074054921398044</v>
      </c>
      <c r="HB50" s="34">
        <f t="shared" si="37"/>
        <v>599.58778606403621</v>
      </c>
      <c r="HC50" s="33">
        <f t="shared" si="5"/>
        <v>0.2224533228856759</v>
      </c>
      <c r="HD50" s="33">
        <f t="shared" si="6"/>
        <v>-0.17676999192548518</v>
      </c>
      <c r="HE50" s="33">
        <f t="shared" si="38"/>
        <v>0.28413572620882238</v>
      </c>
      <c r="HF50" s="33">
        <f t="shared" si="39"/>
        <v>0.11448021509453014</v>
      </c>
      <c r="HG50" s="33">
        <f t="shared" si="7"/>
        <v>-0.11128691314343657</v>
      </c>
      <c r="HH50" s="33">
        <f t="shared" si="40"/>
        <v>0.15965743542060509</v>
      </c>
      <c r="HI50" s="30">
        <f t="shared" si="54"/>
        <v>0.10281257422651767</v>
      </c>
      <c r="HJ50" s="30">
        <f t="shared" si="41"/>
        <v>-0.12042991142423863</v>
      </c>
      <c r="HK50" s="33">
        <f t="shared" si="42"/>
        <v>0.15834705233989413</v>
      </c>
      <c r="HL50" s="61">
        <f t="shared" si="43"/>
        <v>8.987982389913543E-2</v>
      </c>
      <c r="HM50" s="61">
        <f t="shared" si="44"/>
        <v>-0.12712442335863197</v>
      </c>
      <c r="HN50" s="33">
        <f t="shared" si="45"/>
        <v>0.1556887977935609</v>
      </c>
      <c r="HO50" s="30">
        <f t="shared" si="46"/>
        <v>-15.936217021733388</v>
      </c>
      <c r="HP50" s="30">
        <f t="shared" si="47"/>
        <v>0.19594698375720299</v>
      </c>
      <c r="HQ50" s="29">
        <v>400</v>
      </c>
      <c r="HR50" s="30">
        <v>2513.2741228718346</v>
      </c>
      <c r="HS50" s="30">
        <f t="shared" si="48"/>
        <v>-16.132164005490591</v>
      </c>
      <c r="HT50" s="30">
        <f t="shared" si="49"/>
        <v>-16.154852698087055</v>
      </c>
      <c r="HU50" s="30">
        <f t="shared" si="50"/>
        <v>-2.2688692596464222E-2</v>
      </c>
      <c r="HV50" s="30">
        <f t="shared" si="8"/>
        <v>3.7832701952336372</v>
      </c>
      <c r="HW50" s="30">
        <f t="shared" si="9"/>
        <v>3.7804733603538239</v>
      </c>
      <c r="HX50" s="73">
        <f t="shared" si="10"/>
        <v>-0.4122139359637913</v>
      </c>
      <c r="HY50" s="30">
        <f t="shared" si="51"/>
        <v>4.0019058715873044</v>
      </c>
      <c r="HZ50" s="74">
        <f t="shared" si="52"/>
        <v>2.7968348798133036E-3</v>
      </c>
    </row>
    <row r="51" spans="7:234" ht="15" customHeight="1" thickBot="1">
      <c r="AW51" s="104"/>
      <c r="AX51" s="104"/>
      <c r="AY51" s="104"/>
      <c r="AZ51" s="104"/>
      <c r="BA51" s="104"/>
      <c r="BB51" s="104"/>
      <c r="BC51" s="104"/>
      <c r="BD51" s="104"/>
      <c r="BE51" s="104"/>
      <c r="BF51" s="104"/>
      <c r="BG51" s="104"/>
      <c r="BH51" s="104"/>
      <c r="BI51" s="104"/>
      <c r="BJ51" s="104"/>
      <c r="BK51" s="104"/>
      <c r="BL51" s="104"/>
      <c r="BM51" s="104"/>
      <c r="BN51" s="104"/>
      <c r="BO51" s="104"/>
      <c r="BP51" s="159"/>
      <c r="BQ51" s="155"/>
      <c r="BR51" s="155"/>
      <c r="BS51" s="155"/>
      <c r="BT51" s="156"/>
      <c r="BU51" s="109"/>
      <c r="BV51" s="159"/>
      <c r="BW51" s="155"/>
      <c r="BX51" s="155"/>
      <c r="BY51" s="155"/>
      <c r="BZ51" s="155"/>
      <c r="CA51" s="156"/>
      <c r="CB51" s="108"/>
      <c r="CC51" s="108"/>
      <c r="CD51" s="108"/>
      <c r="CE51" s="108"/>
      <c r="CF51" s="108"/>
      <c r="FO51" s="93" t="s">
        <v>204</v>
      </c>
      <c r="FP51" s="30">
        <f>DN34</f>
        <v>2.4929162365801627</v>
      </c>
      <c r="FQ51" s="91" t="s">
        <v>212</v>
      </c>
      <c r="FR51" s="30">
        <f>DS34</f>
        <v>1.4020012268357831</v>
      </c>
      <c r="FT51" s="29">
        <v>500</v>
      </c>
      <c r="FU51" s="27">
        <f t="shared" si="12"/>
        <v>3141.5926535897929</v>
      </c>
      <c r="FV51" s="30">
        <f t="shared" si="53"/>
        <v>474.82557679502349</v>
      </c>
      <c r="FW51" s="30">
        <f t="shared" si="13"/>
        <v>86.260141438880382</v>
      </c>
      <c r="FX51" s="34">
        <f t="shared" si="14"/>
        <v>482.59728592251992</v>
      </c>
      <c r="FY51" s="30">
        <f t="shared" si="15"/>
        <v>8.0417570570337187</v>
      </c>
      <c r="FZ51" s="30">
        <f t="shared" si="16"/>
        <v>-43.130070719440191</v>
      </c>
      <c r="GA51" s="34">
        <f t="shared" si="17"/>
        <v>43.873372982120529</v>
      </c>
      <c r="GB51" s="34">
        <f t="shared" si="18"/>
        <v>10.602210098271746</v>
      </c>
      <c r="GC51" s="34">
        <f t="shared" si="19"/>
        <v>69.148671789111901</v>
      </c>
      <c r="GD51" s="34">
        <f t="shared" si="20"/>
        <v>69.956741413292079</v>
      </c>
      <c r="GE51" s="55">
        <f t="shared" si="21"/>
        <v>294.69889495086414</v>
      </c>
      <c r="GF51" s="55">
        <f t="shared" si="22"/>
        <v>-34.574335894555951</v>
      </c>
      <c r="GG51" s="34">
        <f t="shared" si="23"/>
        <v>296.72010951030944</v>
      </c>
      <c r="GH51" s="30">
        <f t="shared" si="24"/>
        <v>129.25392271636025</v>
      </c>
      <c r="GI51" s="30">
        <f t="shared" si="0"/>
        <v>-109.79880800787862</v>
      </c>
      <c r="GJ51" s="34">
        <f t="shared" si="25"/>
        <v>169.59467791625366</v>
      </c>
      <c r="GK51" s="34">
        <f t="shared" si="26"/>
        <v>294.69889495086414</v>
      </c>
      <c r="GL51" s="34">
        <f t="shared" si="27"/>
        <v>-2581.0534253648816</v>
      </c>
      <c r="GM51" s="34">
        <f t="shared" si="28"/>
        <v>2597.8229776628446</v>
      </c>
      <c r="GN51" s="55">
        <f t="shared" si="1"/>
        <v>610.60221009827171</v>
      </c>
      <c r="GO51" s="55">
        <f t="shared" si="2"/>
        <v>69.148671789111901</v>
      </c>
      <c r="GP51" s="34">
        <f t="shared" si="29"/>
        <v>614.50516497999615</v>
      </c>
      <c r="GQ51" s="55">
        <f t="shared" si="30"/>
        <v>593.61829855210408</v>
      </c>
      <c r="GR51" s="55">
        <f t="shared" si="31"/>
        <v>-71.253931364469437</v>
      </c>
      <c r="GS51" s="34">
        <f t="shared" si="32"/>
        <v>597.87942522785272</v>
      </c>
      <c r="GT51" s="56">
        <f t="shared" si="33"/>
        <v>1079.0460854453993</v>
      </c>
      <c r="GU51" s="56">
        <f t="shared" si="33"/>
        <v>84.154881863522846</v>
      </c>
      <c r="GV51" s="34">
        <f t="shared" si="34"/>
        <v>1082.3227331330074</v>
      </c>
      <c r="GW51" s="30">
        <f t="shared" si="35"/>
        <v>124.90829017037719</v>
      </c>
      <c r="GX51" s="30">
        <f t="shared" si="3"/>
        <v>-86.400302654766847</v>
      </c>
      <c r="GY51" s="34">
        <f t="shared" si="36"/>
        <v>151.878547702177</v>
      </c>
      <c r="GZ51" s="34">
        <f t="shared" si="4"/>
        <v>599.73386696540069</v>
      </c>
      <c r="HA51" s="34">
        <f t="shared" si="4"/>
        <v>-0.14016121588646513</v>
      </c>
      <c r="HB51" s="34">
        <f t="shared" si="37"/>
        <v>599.73388334363722</v>
      </c>
      <c r="HC51" s="33">
        <f t="shared" si="5"/>
        <v>0.20830652139302475</v>
      </c>
      <c r="HD51" s="33">
        <f t="shared" si="6"/>
        <v>-0.14401572250118427</v>
      </c>
      <c r="HE51" s="33">
        <f t="shared" si="38"/>
        <v>0.25324323324108938</v>
      </c>
      <c r="HF51" s="33">
        <f t="shared" si="39"/>
        <v>0.10937562429388054</v>
      </c>
      <c r="HG51" s="33">
        <f t="shared" si="7"/>
        <v>-8.9579385391487715E-2</v>
      </c>
      <c r="HH51" s="33">
        <f t="shared" si="40"/>
        <v>0.1413771320857542</v>
      </c>
      <c r="HI51" s="30">
        <f t="shared" si="54"/>
        <v>9.724298919970395E-2</v>
      </c>
      <c r="HJ51" s="30">
        <f t="shared" si="41"/>
        <v>-0.10056706610207419</v>
      </c>
      <c r="HK51" s="33">
        <f t="shared" si="42"/>
        <v>0.1398925792630642</v>
      </c>
      <c r="HL51" s="61">
        <f t="shared" si="43"/>
        <v>8.3295128523093634E-2</v>
      </c>
      <c r="HM51" s="61">
        <f t="shared" si="44"/>
        <v>-0.1082537633699058</v>
      </c>
      <c r="HN51" s="33">
        <f t="shared" si="45"/>
        <v>0.13659046716160775</v>
      </c>
      <c r="HO51" s="30">
        <f t="shared" si="46"/>
        <v>-16.992416649839633</v>
      </c>
      <c r="HP51" s="30">
        <f t="shared" si="47"/>
        <v>0.27501528193619151</v>
      </c>
      <c r="HQ51" s="29">
        <v>500</v>
      </c>
      <c r="HR51" s="30">
        <v>3141.5926535897929</v>
      </c>
      <c r="HS51" s="30">
        <f t="shared" si="48"/>
        <v>-17.267431931775825</v>
      </c>
      <c r="HT51" s="30">
        <f t="shared" si="49"/>
        <v>-17.291592192237239</v>
      </c>
      <c r="HU51" s="30">
        <f t="shared" si="50"/>
        <v>-2.4160260461414396E-2</v>
      </c>
      <c r="HV51" s="30">
        <f t="shared" si="8"/>
        <v>2.6465307010834529</v>
      </c>
      <c r="HW51" s="30">
        <f t="shared" si="9"/>
        <v>2.6452054340685898</v>
      </c>
      <c r="HX51" s="73">
        <f t="shared" si="10"/>
        <v>-0.26611665636278303</v>
      </c>
      <c r="HY51" s="30">
        <f t="shared" si="51"/>
        <v>2.9457062434810588</v>
      </c>
      <c r="HZ51" s="74">
        <f t="shared" si="52"/>
        <v>1.3252670148631296E-3</v>
      </c>
    </row>
    <row r="52" spans="7:234" ht="15" customHeight="1">
      <c r="G52" s="30" t="s">
        <v>237</v>
      </c>
      <c r="FO52" s="93" t="s">
        <v>205</v>
      </c>
      <c r="FP52" s="30">
        <f>CQ36</f>
        <v>298.75354188170991</v>
      </c>
      <c r="FQ52" s="91" t="s">
        <v>212</v>
      </c>
      <c r="FR52" s="30">
        <f>CV36</f>
        <v>-0.70100061341789155</v>
      </c>
      <c r="FT52" s="29">
        <v>600</v>
      </c>
      <c r="FU52" s="27">
        <f t="shared" si="12"/>
        <v>3769.9111843077517</v>
      </c>
      <c r="FV52" s="30">
        <f t="shared" si="53"/>
        <v>479.62413552814849</v>
      </c>
      <c r="FW52" s="30">
        <f t="shared" si="13"/>
        <v>72.629041667465032</v>
      </c>
      <c r="FX52" s="34">
        <f t="shared" si="14"/>
        <v>485.09204185871585</v>
      </c>
      <c r="FY52" s="30">
        <f t="shared" si="15"/>
        <v>5.6424776904712539</v>
      </c>
      <c r="FZ52" s="30">
        <f t="shared" si="16"/>
        <v>-36.314520833732516</v>
      </c>
      <c r="GA52" s="34">
        <f t="shared" si="17"/>
        <v>36.750265004092945</v>
      </c>
      <c r="GB52" s="34">
        <f t="shared" si="18"/>
        <v>14.102372124612327</v>
      </c>
      <c r="GC52" s="34">
        <f t="shared" si="19"/>
        <v>82.48563560863586</v>
      </c>
      <c r="GD52" s="34">
        <f t="shared" si="20"/>
        <v>83.682477146065054</v>
      </c>
      <c r="GE52" s="55">
        <f t="shared" si="21"/>
        <v>292.94881393769384</v>
      </c>
      <c r="GF52" s="55">
        <f t="shared" si="22"/>
        <v>-41.24281780431793</v>
      </c>
      <c r="GG52" s="34">
        <f t="shared" si="23"/>
        <v>295.83775554844539</v>
      </c>
      <c r="GH52" s="30">
        <f t="shared" si="24"/>
        <v>126.85462976870727</v>
      </c>
      <c r="GI52" s="30">
        <f t="shared" si="0"/>
        <v>-91.871801907438751</v>
      </c>
      <c r="GJ52" s="34">
        <f t="shared" si="25"/>
        <v>156.62862152070247</v>
      </c>
      <c r="GK52" s="34">
        <f t="shared" si="26"/>
        <v>292.94881393769384</v>
      </c>
      <c r="GL52" s="34">
        <f t="shared" si="27"/>
        <v>-2163.3087256962558</v>
      </c>
      <c r="GM52" s="34">
        <f t="shared" si="28"/>
        <v>2183.0537442447585</v>
      </c>
      <c r="GN52" s="55">
        <f t="shared" si="1"/>
        <v>614.10237212461232</v>
      </c>
      <c r="GO52" s="55">
        <f t="shared" si="2"/>
        <v>82.48563560863586</v>
      </c>
      <c r="GP52" s="34">
        <f t="shared" si="29"/>
        <v>619.61730409248298</v>
      </c>
      <c r="GQ52" s="55">
        <f t="shared" si="30"/>
        <v>589.82503142112978</v>
      </c>
      <c r="GR52" s="55">
        <f t="shared" si="31"/>
        <v>-84.898633792717391</v>
      </c>
      <c r="GS52" s="34">
        <f t="shared" si="32"/>
        <v>595.90380575291397</v>
      </c>
      <c r="GT52" s="56">
        <f t="shared" si="33"/>
        <v>1083.5515390738906</v>
      </c>
      <c r="GU52" s="56">
        <f t="shared" si="33"/>
        <v>70.216043483383515</v>
      </c>
      <c r="GV52" s="34">
        <f t="shared" si="34"/>
        <v>1085.824217169546</v>
      </c>
      <c r="GW52" s="30">
        <f t="shared" si="35"/>
        <v>120.19065932502406</v>
      </c>
      <c r="GX52" s="30">
        <f t="shared" si="3"/>
        <v>-72.734082605841905</v>
      </c>
      <c r="GY52" s="34">
        <f t="shared" si="36"/>
        <v>140.48502184039916</v>
      </c>
      <c r="GZ52" s="34">
        <f t="shared" si="4"/>
        <v>599.81479485317254</v>
      </c>
      <c r="HA52" s="34">
        <f t="shared" si="4"/>
        <v>-0.10504093837687378</v>
      </c>
      <c r="HB52" s="34">
        <f t="shared" si="37"/>
        <v>599.81480405067714</v>
      </c>
      <c r="HC52" s="33">
        <f t="shared" si="5"/>
        <v>0.20040084710969575</v>
      </c>
      <c r="HD52" s="33">
        <f t="shared" si="6"/>
        <v>-0.12122580659353235</v>
      </c>
      <c r="HE52" s="33">
        <f t="shared" si="38"/>
        <v>0.23421399553941297</v>
      </c>
      <c r="HF52" s="33">
        <f t="shared" si="39"/>
        <v>0.10657043751501891</v>
      </c>
      <c r="HG52" s="33">
        <f t="shared" si="7"/>
        <v>-7.4918547984265643E-2</v>
      </c>
      <c r="HH52" s="33">
        <f t="shared" si="40"/>
        <v>0.13026913289115447</v>
      </c>
      <c r="HI52" s="30">
        <f t="shared" si="54"/>
        <v>9.3900741554676023E-2</v>
      </c>
      <c r="HJ52" s="30">
        <f t="shared" si="41"/>
        <v>-8.7775346567282891E-2</v>
      </c>
      <c r="HK52" s="33">
        <f t="shared" si="42"/>
        <v>0.12853739039487569</v>
      </c>
      <c r="HL52" s="61">
        <f t="shared" si="43"/>
        <v>7.8803490702697113E-2</v>
      </c>
      <c r="HM52" s="61">
        <f t="shared" si="44"/>
        <v>-9.6344464123247556E-2</v>
      </c>
      <c r="HN52" s="33">
        <f t="shared" si="45"/>
        <v>0.12446785092595519</v>
      </c>
      <c r="HO52" s="30">
        <f t="shared" si="46"/>
        <v>-17.703169552688706</v>
      </c>
      <c r="HP52" s="30">
        <f t="shared" si="47"/>
        <v>0.37051503933291485</v>
      </c>
      <c r="HQ52" s="29">
        <v>600</v>
      </c>
      <c r="HR52" s="30">
        <v>3769.9111843077517</v>
      </c>
      <c r="HS52" s="30">
        <f t="shared" si="48"/>
        <v>-18.073684592021621</v>
      </c>
      <c r="HT52" s="30">
        <f t="shared" si="49"/>
        <v>-18.098856179149617</v>
      </c>
      <c r="HU52" s="30">
        <f t="shared" si="50"/>
        <v>-2.5171587127996276E-2</v>
      </c>
      <c r="HV52" s="30">
        <f t="shared" si="8"/>
        <v>1.8392667141710746</v>
      </c>
      <c r="HW52" s="30">
        <f t="shared" si="9"/>
        <v>1.8389527738227933</v>
      </c>
      <c r="HX52" s="73">
        <f t="shared" si="10"/>
        <v>-0.18519594932286054</v>
      </c>
      <c r="HY52" s="30">
        <f t="shared" si="51"/>
        <v>2.2349533406319857</v>
      </c>
      <c r="HZ52" s="74">
        <f t="shared" si="52"/>
        <v>3.1394034828124973E-4</v>
      </c>
    </row>
    <row r="53" spans="7:234" ht="15" customHeight="1">
      <c r="G53" s="30" t="s">
        <v>238</v>
      </c>
      <c r="FO53" s="93" t="s">
        <v>206</v>
      </c>
      <c r="FP53" s="30">
        <f>CK38</f>
        <v>357.96026811092923</v>
      </c>
      <c r="FQ53" s="91" t="s">
        <v>212</v>
      </c>
      <c r="FR53" s="30">
        <f>CP38</f>
        <v>-3358.8198005875734</v>
      </c>
      <c r="FT53" s="29">
        <v>700</v>
      </c>
      <c r="FU53" s="27">
        <f t="shared" si="12"/>
        <v>4398.22971502571</v>
      </c>
      <c r="FV53" s="30">
        <f t="shared" si="53"/>
        <v>482.56592413853792</v>
      </c>
      <c r="FW53" s="30">
        <f t="shared" si="13"/>
        <v>62.645255060599318</v>
      </c>
      <c r="FX53" s="34">
        <f t="shared" si="14"/>
        <v>486.61514477180907</v>
      </c>
      <c r="FY53" s="30">
        <f t="shared" si="15"/>
        <v>4.1715833852765316</v>
      </c>
      <c r="FZ53" s="30">
        <f t="shared" si="16"/>
        <v>-31.322627530299659</v>
      </c>
      <c r="GA53" s="34">
        <f t="shared" si="17"/>
        <v>31.599194662873948</v>
      </c>
      <c r="GB53" s="34">
        <f t="shared" si="18"/>
        <v>18.185704207916295</v>
      </c>
      <c r="GC53" s="34">
        <f t="shared" si="19"/>
        <v>95.562557341973019</v>
      </c>
      <c r="GD53" s="34">
        <f t="shared" si="20"/>
        <v>97.277552412032378</v>
      </c>
      <c r="GE53" s="55">
        <f t="shared" si="21"/>
        <v>290.90714789604181</v>
      </c>
      <c r="GF53" s="55">
        <f t="shared" si="22"/>
        <v>-47.781278670986509</v>
      </c>
      <c r="GG53" s="34">
        <f t="shared" si="23"/>
        <v>294.80505302393311</v>
      </c>
      <c r="GH53" s="30">
        <f t="shared" si="24"/>
        <v>125.38372727454332</v>
      </c>
      <c r="GI53" s="30">
        <f t="shared" si="0"/>
        <v>-78.94315416490889</v>
      </c>
      <c r="GJ53" s="34">
        <f t="shared" si="25"/>
        <v>148.16578773374653</v>
      </c>
      <c r="GK53" s="34">
        <f t="shared" si="26"/>
        <v>290.90714789604181</v>
      </c>
      <c r="GL53" s="34">
        <f t="shared" si="27"/>
        <v>-1866.6949140069335</v>
      </c>
      <c r="GM53" s="34">
        <f t="shared" si="28"/>
        <v>1889.2265270941868</v>
      </c>
      <c r="GN53" s="55">
        <f t="shared" si="1"/>
        <v>618.18570420791627</v>
      </c>
      <c r="GO53" s="55">
        <f t="shared" si="2"/>
        <v>95.562557341973019</v>
      </c>
      <c r="GP53" s="34">
        <f t="shared" si="29"/>
        <v>625.52839044505026</v>
      </c>
      <c r="GQ53" s="55">
        <f t="shared" si="30"/>
        <v>585.42301365349385</v>
      </c>
      <c r="GR53" s="55">
        <f t="shared" si="31"/>
        <v>-98.232690896219125</v>
      </c>
      <c r="GS53" s="34">
        <f t="shared" si="32"/>
        <v>593.60741780730052</v>
      </c>
      <c r="GT53" s="56">
        <f t="shared" si="33"/>
        <v>1086.1746419999481</v>
      </c>
      <c r="GU53" s="56">
        <f t="shared" si="33"/>
        <v>59.975121506353204</v>
      </c>
      <c r="GV53" s="34">
        <f t="shared" si="34"/>
        <v>1087.8291998854495</v>
      </c>
      <c r="GW53" s="30">
        <f t="shared" si="35"/>
        <v>117.29778895354249</v>
      </c>
      <c r="GX53" s="30">
        <f t="shared" si="3"/>
        <v>-62.730151159840979</v>
      </c>
      <c r="GY53" s="34">
        <f t="shared" si="36"/>
        <v>133.01820611452516</v>
      </c>
      <c r="GZ53" s="34">
        <f t="shared" si="4"/>
        <v>599.86371309208039</v>
      </c>
      <c r="HA53" s="34">
        <f t="shared" si="4"/>
        <v>-8.489609924166075E-2</v>
      </c>
      <c r="HB53" s="34">
        <f t="shared" si="37"/>
        <v>599.86371909956802</v>
      </c>
      <c r="HC53" s="33">
        <f t="shared" si="5"/>
        <v>0.19555552697864165</v>
      </c>
      <c r="HD53" s="33">
        <f t="shared" si="6"/>
        <v>-0.1045463292572736</v>
      </c>
      <c r="HE53" s="33">
        <f t="shared" si="38"/>
        <v>0.22174737674449388</v>
      </c>
      <c r="HF53" s="33">
        <f t="shared" si="39"/>
        <v>0.10486279291389328</v>
      </c>
      <c r="HG53" s="33">
        <f t="shared" si="7"/>
        <v>-6.4369385159070355E-2</v>
      </c>
      <c r="HH53" s="33">
        <f t="shared" si="40"/>
        <v>0.12304317568828763</v>
      </c>
      <c r="HI53" s="30">
        <f t="shared" si="54"/>
        <v>9.1577697677130518E-2</v>
      </c>
      <c r="HJ53" s="30">
        <f t="shared" si="41"/>
        <v>-7.9090555973784019E-2</v>
      </c>
      <c r="HK53" s="33">
        <f t="shared" si="42"/>
        <v>0.12100326754301381</v>
      </c>
      <c r="HL53" s="61">
        <f t="shared" si="43"/>
        <v>7.5219594235024528E-2</v>
      </c>
      <c r="HM53" s="61">
        <f t="shared" si="44"/>
        <v>-8.8391740539533428E-2</v>
      </c>
      <c r="HN53" s="33">
        <f t="shared" si="45"/>
        <v>0.11606501261142366</v>
      </c>
      <c r="HO53" s="30">
        <f t="shared" si="46"/>
        <v>-18.198849369106892</v>
      </c>
      <c r="HP53" s="30">
        <f t="shared" si="47"/>
        <v>0.48138670547012197</v>
      </c>
      <c r="HQ53" s="29">
        <v>700</v>
      </c>
      <c r="HR53" s="30">
        <v>4398.22971502571</v>
      </c>
      <c r="HS53" s="30">
        <f t="shared" si="48"/>
        <v>-18.680236074577014</v>
      </c>
      <c r="HT53" s="30">
        <f t="shared" si="49"/>
        <v>-18.705973541452249</v>
      </c>
      <c r="HU53" s="30">
        <f t="shared" si="50"/>
        <v>-2.5737466875234816E-2</v>
      </c>
      <c r="HV53" s="30">
        <f t="shared" si="8"/>
        <v>1.2321493518684434</v>
      </c>
      <c r="HW53" s="30">
        <f t="shared" si="9"/>
        <v>1.2324012912674007</v>
      </c>
      <c r="HX53" s="73">
        <f t="shared" si="10"/>
        <v>-0.13628090043198426</v>
      </c>
      <c r="HY53" s="30">
        <f t="shared" si="51"/>
        <v>1.7392735242138002</v>
      </c>
      <c r="HZ53" s="74">
        <f t="shared" si="52"/>
        <v>-2.5193939895729045E-4</v>
      </c>
    </row>
    <row r="54" spans="7:234" ht="15" customHeight="1">
      <c r="AW54" s="104" t="s">
        <v>127</v>
      </c>
      <c r="AX54" s="104"/>
      <c r="AY54" s="104" t="s">
        <v>33</v>
      </c>
      <c r="AZ54" s="23" t="s">
        <v>128</v>
      </c>
      <c r="BA54" s="23"/>
      <c r="BB54" s="23"/>
      <c r="BC54" s="23"/>
      <c r="BD54" s="23"/>
      <c r="BE54" s="22"/>
      <c r="BF54" s="22"/>
      <c r="BG54" s="22"/>
      <c r="BH54" s="22"/>
      <c r="BI54" s="22"/>
      <c r="BJ54" s="22"/>
      <c r="BK54" s="22"/>
      <c r="BL54" s="22"/>
      <c r="BM54" s="22"/>
      <c r="BN54" s="22"/>
      <c r="BO54" s="22"/>
      <c r="BP54" s="22"/>
      <c r="BQ54" s="22"/>
      <c r="BR54" s="22"/>
      <c r="BS54" s="109" t="s">
        <v>115</v>
      </c>
      <c r="BT54" s="22" t="s">
        <v>129</v>
      </c>
      <c r="BU54" s="22"/>
      <c r="BV54" s="22"/>
      <c r="BW54" s="22"/>
      <c r="BX54" s="22"/>
      <c r="BY54" s="22"/>
      <c r="BZ54" s="22"/>
      <c r="CA54" s="22"/>
      <c r="CB54" s="22"/>
      <c r="CC54" s="22"/>
      <c r="CD54" s="22"/>
      <c r="CE54" s="22"/>
      <c r="CF54" s="22"/>
      <c r="CG54" s="22"/>
      <c r="CH54" s="22"/>
      <c r="CI54" s="22"/>
      <c r="CJ54" s="22"/>
      <c r="CK54" s="22"/>
      <c r="FO54" s="93" t="s">
        <v>207</v>
      </c>
      <c r="FP54" s="30">
        <f>CA40</f>
        <v>298.75354188170991</v>
      </c>
      <c r="FQ54" s="91" t="s">
        <v>212</v>
      </c>
      <c r="FR54" s="30">
        <f>CF40</f>
        <v>-127324.65547412972</v>
      </c>
      <c r="FT54" s="29">
        <v>800</v>
      </c>
      <c r="FU54" s="27">
        <f t="shared" si="12"/>
        <v>5026.5482457436692</v>
      </c>
      <c r="FV54" s="30">
        <f t="shared" si="53"/>
        <v>484.49515478825373</v>
      </c>
      <c r="FW54" s="30">
        <f t="shared" si="13"/>
        <v>55.03941818082648</v>
      </c>
      <c r="FX54" s="34">
        <f t="shared" si="14"/>
        <v>487.61141554210752</v>
      </c>
      <c r="FY54" s="30">
        <f t="shared" si="15"/>
        <v>3.2069680604186197</v>
      </c>
      <c r="FZ54" s="30">
        <f t="shared" si="16"/>
        <v>-27.51970909041324</v>
      </c>
      <c r="GA54" s="34">
        <f t="shared" si="17"/>
        <v>27.705938579328411</v>
      </c>
      <c r="GB54" s="34">
        <f t="shared" si="18"/>
        <v>22.827080867575223</v>
      </c>
      <c r="GC54" s="34">
        <f t="shared" si="19"/>
        <v>108.34310256183645</v>
      </c>
      <c r="GD54" s="34">
        <f t="shared" si="20"/>
        <v>110.72173902924136</v>
      </c>
      <c r="GE54" s="55">
        <f t="shared" si="21"/>
        <v>288.5864595662124</v>
      </c>
      <c r="GF54" s="55">
        <f t="shared" si="22"/>
        <v>-54.171551280918223</v>
      </c>
      <c r="GG54" s="34">
        <f t="shared" si="23"/>
        <v>293.62680670051617</v>
      </c>
      <c r="GH54" s="30">
        <f t="shared" si="24"/>
        <v>124.41910663472942</v>
      </c>
      <c r="GI54" s="30">
        <f t="shared" si="0"/>
        <v>-69.187669895698534</v>
      </c>
      <c r="GJ54" s="34">
        <f t="shared" si="25"/>
        <v>142.36238183375661</v>
      </c>
      <c r="GK54" s="34">
        <f t="shared" si="26"/>
        <v>288.5864595662124</v>
      </c>
      <c r="GL54" s="34">
        <f t="shared" si="27"/>
        <v>-1645.7209821998717</v>
      </c>
      <c r="GM54" s="34">
        <f t="shared" si="28"/>
        <v>1670.8320370096665</v>
      </c>
      <c r="GN54" s="55">
        <f t="shared" si="1"/>
        <v>622.82708086757521</v>
      </c>
      <c r="GO54" s="55">
        <f t="shared" si="2"/>
        <v>108.34310256183645</v>
      </c>
      <c r="GP54" s="34">
        <f t="shared" si="29"/>
        <v>632.18019625321199</v>
      </c>
      <c r="GQ54" s="55">
        <f t="shared" si="30"/>
        <v>580.44727547354148</v>
      </c>
      <c r="GR54" s="55">
        <f t="shared" si="31"/>
        <v>-111.21893276008642</v>
      </c>
      <c r="GS54" s="34">
        <f t="shared" si="32"/>
        <v>591.00650640153697</v>
      </c>
      <c r="GT54" s="56">
        <f t="shared" si="33"/>
        <v>1087.7695111293704</v>
      </c>
      <c r="GU54" s="56">
        <f t="shared" si="33"/>
        <v>52.163587982576516</v>
      </c>
      <c r="GV54" s="34">
        <f t="shared" si="34"/>
        <v>1089.0195357539944</v>
      </c>
      <c r="GW54" s="30">
        <f t="shared" si="35"/>
        <v>115.40003613206849</v>
      </c>
      <c r="GX54" s="30">
        <f t="shared" si="3"/>
        <v>-55.111481988920318</v>
      </c>
      <c r="GY54" s="34">
        <f t="shared" si="36"/>
        <v>127.8844939243918</v>
      </c>
      <c r="GZ54" s="34">
        <f t="shared" si="4"/>
        <v>599.89519092032219</v>
      </c>
      <c r="HA54" s="34">
        <f t="shared" si="4"/>
        <v>-7.2063808093837167E-2</v>
      </c>
      <c r="HB54" s="34">
        <f t="shared" si="37"/>
        <v>599.89519524873867</v>
      </c>
      <c r="HC54" s="33">
        <f t="shared" si="5"/>
        <v>0.19237802971026738</v>
      </c>
      <c r="HD54" s="33">
        <f t="shared" si="6"/>
        <v>-9.1845407880297297E-2</v>
      </c>
      <c r="HE54" s="33">
        <f t="shared" si="38"/>
        <v>0.21317805999657352</v>
      </c>
      <c r="HF54" s="33">
        <f t="shared" si="39"/>
        <v>0.10374393202438448</v>
      </c>
      <c r="HG54" s="33">
        <f t="shared" si="7"/>
        <v>-5.642085107835635E-2</v>
      </c>
      <c r="HH54" s="33">
        <f t="shared" si="40"/>
        <v>0.11809367412476493</v>
      </c>
      <c r="HI54" s="30">
        <f t="shared" si="54"/>
        <v>8.9764640787265162E-2</v>
      </c>
      <c r="HJ54" s="30">
        <f t="shared" si="41"/>
        <v>-7.2984157806320157E-2</v>
      </c>
      <c r="HK54" s="33">
        <f t="shared" si="42"/>
        <v>0.1156908727011971</v>
      </c>
      <c r="HL54" s="61">
        <f t="shared" si="43"/>
        <v>7.2063509827053757E-2</v>
      </c>
      <c r="HM54" s="61">
        <f t="shared" si="44"/>
        <v>-8.2844950877980869E-2</v>
      </c>
      <c r="HN54" s="33">
        <f t="shared" si="45"/>
        <v>0.1098018002337345</v>
      </c>
      <c r="HO54" s="30">
        <f t="shared" si="46"/>
        <v>-18.555467308743765</v>
      </c>
      <c r="HP54" s="30">
        <f t="shared" si="47"/>
        <v>0.60641533899301692</v>
      </c>
      <c r="HQ54" s="29">
        <v>800</v>
      </c>
      <c r="HR54" s="30">
        <v>5026.5482457436692</v>
      </c>
      <c r="HS54" s="30">
        <f t="shared" si="48"/>
        <v>-19.161882647736782</v>
      </c>
      <c r="HT54" s="30">
        <f t="shared" si="49"/>
        <v>-19.187810788762654</v>
      </c>
      <c r="HU54" s="30">
        <f t="shared" si="50"/>
        <v>-2.5928141025872264E-2</v>
      </c>
      <c r="HV54" s="30">
        <f t="shared" si="8"/>
        <v>0.75031210455803787</v>
      </c>
      <c r="HW54" s="30">
        <f t="shared" si="9"/>
        <v>0.75075471810763261</v>
      </c>
      <c r="HX54" s="73">
        <f t="shared" si="10"/>
        <v>-0.1048047512613266</v>
      </c>
      <c r="HY54" s="30">
        <f t="shared" si="51"/>
        <v>1.3826555845769271</v>
      </c>
      <c r="HZ54" s="74">
        <f t="shared" si="52"/>
        <v>-4.426135495947392E-4</v>
      </c>
    </row>
    <row r="55" spans="7:234" ht="15" customHeight="1">
      <c r="G55" s="5" t="s">
        <v>239</v>
      </c>
      <c r="O55" s="30" t="s">
        <v>240</v>
      </c>
      <c r="AW55" s="104"/>
      <c r="AX55" s="104"/>
      <c r="AY55" s="104"/>
      <c r="AZ55" s="112" t="s">
        <v>130</v>
      </c>
      <c r="BA55" s="112"/>
      <c r="BB55" s="112"/>
      <c r="BC55" s="112"/>
      <c r="BD55" s="112"/>
      <c r="BE55" s="112"/>
      <c r="BF55" s="112"/>
      <c r="BG55" s="112"/>
      <c r="BH55" s="112"/>
      <c r="BI55" s="112"/>
      <c r="BJ55" s="112"/>
      <c r="BK55" s="112"/>
      <c r="BL55" s="112"/>
      <c r="BM55" s="112"/>
      <c r="BN55" s="112"/>
      <c r="BO55" s="22"/>
      <c r="BP55" s="22"/>
      <c r="BQ55" s="22"/>
      <c r="BR55" s="22"/>
      <c r="BS55" s="109"/>
      <c r="BT55" s="112" t="s">
        <v>130</v>
      </c>
      <c r="BU55" s="112"/>
      <c r="BV55" s="112"/>
      <c r="BW55" s="112"/>
      <c r="BX55" s="112"/>
      <c r="BY55" s="112"/>
      <c r="BZ55" s="112"/>
      <c r="CA55" s="112"/>
      <c r="CB55" s="112"/>
      <c r="CC55" s="112"/>
      <c r="CD55" s="112"/>
      <c r="CE55" s="112"/>
      <c r="CF55" s="112"/>
      <c r="CG55" s="112"/>
      <c r="CH55" s="112"/>
      <c r="CI55" s="22"/>
      <c r="CJ55" s="22"/>
      <c r="CK55" s="22"/>
      <c r="FO55" s="93" t="s">
        <v>208</v>
      </c>
      <c r="FP55" s="30">
        <f>BC42</f>
        <v>602.49291623658019</v>
      </c>
      <c r="FQ55" s="91" t="s">
        <v>212</v>
      </c>
      <c r="FR55" s="30">
        <f>BH42</f>
        <v>1.4020012268357831</v>
      </c>
      <c r="FT55" s="29">
        <v>900</v>
      </c>
      <c r="FU55" s="27">
        <f t="shared" si="12"/>
        <v>5654.8667764616275</v>
      </c>
      <c r="FV55" s="30">
        <f t="shared" si="53"/>
        <v>485.82699894632174</v>
      </c>
      <c r="FW55" s="30">
        <f t="shared" si="13"/>
        <v>49.061886794676681</v>
      </c>
      <c r="FX55" s="34">
        <f t="shared" si="14"/>
        <v>488.29800495296206</v>
      </c>
      <c r="FY55" s="30">
        <f t="shared" si="15"/>
        <v>2.541045981384594</v>
      </c>
      <c r="FZ55" s="30">
        <f t="shared" si="16"/>
        <v>-24.530943397338341</v>
      </c>
      <c r="GA55" s="34">
        <f t="shared" si="17"/>
        <v>24.662199793265163</v>
      </c>
      <c r="GB55" s="34">
        <f t="shared" si="18"/>
        <v>27.998588720362459</v>
      </c>
      <c r="GC55" s="34">
        <f t="shared" si="19"/>
        <v>120.79388377846254</v>
      </c>
      <c r="GD55" s="34">
        <f t="shared" si="20"/>
        <v>123.9963036893307</v>
      </c>
      <c r="GE55" s="55">
        <f t="shared" si="21"/>
        <v>286.00070563981876</v>
      </c>
      <c r="GF55" s="55">
        <f t="shared" si="22"/>
        <v>-60.396941889231272</v>
      </c>
      <c r="GG55" s="34">
        <f t="shared" si="23"/>
        <v>292.30838889098862</v>
      </c>
      <c r="GH55" s="30">
        <f t="shared" si="24"/>
        <v>123.75318091177907</v>
      </c>
      <c r="GI55" s="30">
        <f t="shared" si="0"/>
        <v>-61.569130779815517</v>
      </c>
      <c r="GJ55" s="34">
        <f t="shared" si="25"/>
        <v>138.22303589042437</v>
      </c>
      <c r="GK55" s="34">
        <f t="shared" si="26"/>
        <v>286.00070563981876</v>
      </c>
      <c r="GL55" s="34">
        <f t="shared" si="27"/>
        <v>-1475.1075471505233</v>
      </c>
      <c r="GM55" s="34">
        <f t="shared" si="28"/>
        <v>1502.5773455256497</v>
      </c>
      <c r="GN55" s="55">
        <f t="shared" si="1"/>
        <v>627.99858872036248</v>
      </c>
      <c r="GO55" s="55">
        <f t="shared" si="2"/>
        <v>120.79388377846254</v>
      </c>
      <c r="GP55" s="34">
        <f t="shared" si="29"/>
        <v>639.51027340696544</v>
      </c>
      <c r="GQ55" s="55">
        <f t="shared" si="30"/>
        <v>574.93491896183332</v>
      </c>
      <c r="GR55" s="55">
        <f t="shared" si="31"/>
        <v>-123.82515634563588</v>
      </c>
      <c r="GS55" s="34">
        <f t="shared" si="32"/>
        <v>588.11804120063437</v>
      </c>
      <c r="GT55" s="56">
        <f t="shared" si="33"/>
        <v>1088.7605066285175</v>
      </c>
      <c r="GU55" s="56">
        <f t="shared" si="33"/>
        <v>46.030614227503364</v>
      </c>
      <c r="GV55" s="34">
        <f t="shared" si="34"/>
        <v>1089.7331133080922</v>
      </c>
      <c r="GW55" s="30">
        <f t="shared" si="35"/>
        <v>114.08941031225072</v>
      </c>
      <c r="GX55" s="30">
        <f t="shared" si="3"/>
        <v>-49.125072576117077</v>
      </c>
      <c r="GY55" s="34">
        <f t="shared" si="36"/>
        <v>124.21620788369717</v>
      </c>
      <c r="GZ55" s="34">
        <f t="shared" si="4"/>
        <v>599.91640925857246</v>
      </c>
      <c r="HA55" s="34">
        <f t="shared" si="4"/>
        <v>-6.3185781440395772E-2</v>
      </c>
      <c r="HB55" s="34">
        <f t="shared" si="37"/>
        <v>599.91641258607183</v>
      </c>
      <c r="HC55" s="33">
        <f t="shared" si="5"/>
        <v>0.19018413457288405</v>
      </c>
      <c r="HD55" s="33">
        <f t="shared" si="6"/>
        <v>-8.1866498207066207E-2</v>
      </c>
      <c r="HE55" s="33">
        <f t="shared" si="38"/>
        <v>0.20705585857909078</v>
      </c>
      <c r="HF55" s="33">
        <f t="shared" si="39"/>
        <v>0.10296903978541272</v>
      </c>
      <c r="HG55" s="33">
        <f t="shared" si="7"/>
        <v>-5.0218833885275378E-2</v>
      </c>
      <c r="HH55" s="33">
        <f t="shared" si="40"/>
        <v>0.11456244773540232</v>
      </c>
      <c r="HI55" s="30">
        <f t="shared" si="54"/>
        <v>8.8218777640429999E-2</v>
      </c>
      <c r="HJ55" s="30">
        <f t="shared" si="41"/>
        <v>-6.8590156216039228E-2</v>
      </c>
      <c r="HK55" s="33">
        <f t="shared" si="42"/>
        <v>0.11174597199949668</v>
      </c>
      <c r="HL55" s="61">
        <f t="shared" si="43"/>
        <v>6.9123318545043125E-2</v>
      </c>
      <c r="HM55" s="61">
        <f t="shared" si="44"/>
        <v>-7.8827832937023279E-2</v>
      </c>
      <c r="HN55" s="33">
        <f t="shared" si="45"/>
        <v>0.10484207367382026</v>
      </c>
      <c r="HO55" s="30">
        <f t="shared" si="46"/>
        <v>-18.819154316467777</v>
      </c>
      <c r="HP55" s="30">
        <f t="shared" si="47"/>
        <v>0.74431254781409351</v>
      </c>
      <c r="HQ55" s="29">
        <v>900</v>
      </c>
      <c r="HR55" s="30">
        <v>5654.8667764616275</v>
      </c>
      <c r="HS55" s="30">
        <f t="shared" si="48"/>
        <v>-19.563466864281871</v>
      </c>
      <c r="HT55" s="30">
        <f t="shared" si="49"/>
        <v>-19.589287954395999</v>
      </c>
      <c r="HU55" s="30">
        <f t="shared" si="50"/>
        <v>-2.5821090114128253E-2</v>
      </c>
      <c r="HV55" s="30">
        <f t="shared" si="8"/>
        <v>0.34883493892469275</v>
      </c>
      <c r="HW55" s="30">
        <f t="shared" si="9"/>
        <v>0.34917050156254348</v>
      </c>
      <c r="HX55" s="73">
        <f t="shared" si="10"/>
        <v>-8.3587413928171372E-2</v>
      </c>
      <c r="HY55" s="30">
        <f t="shared" si="51"/>
        <v>1.1189685768529145</v>
      </c>
      <c r="HZ55" s="74">
        <f t="shared" si="52"/>
        <v>-3.3556263785072815E-4</v>
      </c>
    </row>
    <row r="56" spans="7:234" ht="15" customHeight="1">
      <c r="O56" s="30" t="s">
        <v>241</v>
      </c>
      <c r="AY56" s="104" t="s">
        <v>33</v>
      </c>
      <c r="AZ56" s="106">
        <f>(CK38*BP50-CP38*BV50)*(CK38+BP50)+(CP38+BV50)*(CP38*BP50+CK38*BV50)</f>
        <v>7184570626.5132904</v>
      </c>
      <c r="BA56" s="106"/>
      <c r="BB56" s="106"/>
      <c r="BC56" s="106"/>
      <c r="BD56" s="106"/>
      <c r="BE56" s="106"/>
      <c r="BF56" s="106"/>
      <c r="BG56" s="106"/>
      <c r="BH56" s="106"/>
      <c r="BI56" s="106"/>
      <c r="BJ56" s="106"/>
      <c r="BK56" s="106"/>
      <c r="BL56" s="106"/>
      <c r="BM56" s="106"/>
      <c r="BN56" s="106"/>
      <c r="BO56" s="106"/>
      <c r="BS56" s="107" t="s">
        <v>115</v>
      </c>
      <c r="BT56" s="106">
        <f>(CP38*BP50+CK38*BV50)*(CK38+BP50)-(CP38+BV50)*(CK38*BP50-CP38*BV50)</f>
        <v>-710726605.88142204</v>
      </c>
      <c r="BU56" s="106"/>
      <c r="BV56" s="106"/>
      <c r="BW56" s="106"/>
      <c r="BX56" s="106"/>
      <c r="BY56" s="106"/>
      <c r="BZ56" s="106"/>
      <c r="CA56" s="106"/>
      <c r="CB56" s="106"/>
      <c r="CC56" s="106"/>
      <c r="CD56" s="106"/>
      <c r="CE56" s="106"/>
      <c r="CF56" s="106"/>
      <c r="CG56" s="106"/>
      <c r="CH56" s="106"/>
      <c r="CI56" s="106"/>
      <c r="CJ56" s="106"/>
      <c r="CK56" s="106"/>
      <c r="FO56" s="93" t="s">
        <v>209</v>
      </c>
      <c r="FP56" s="30">
        <f>BP50</f>
        <v>617.63503313780984</v>
      </c>
      <c r="FQ56" s="91" t="s">
        <v>212</v>
      </c>
      <c r="FR56" s="30">
        <f>BV50</f>
        <v>50.765879736439267</v>
      </c>
      <c r="FT56" s="29">
        <v>1000</v>
      </c>
      <c r="FU56" s="27">
        <f t="shared" si="12"/>
        <v>6283.1853071795858</v>
      </c>
      <c r="FV56" s="30">
        <f t="shared" si="53"/>
        <v>486.78427649372441</v>
      </c>
      <c r="FW56" s="30">
        <f t="shared" si="13"/>
        <v>44.244942038809825</v>
      </c>
      <c r="FX56" s="34">
        <f t="shared" si="14"/>
        <v>488.79090287927454</v>
      </c>
      <c r="FY56" s="30">
        <f t="shared" si="15"/>
        <v>2.0624072076832487</v>
      </c>
      <c r="FZ56" s="30">
        <f t="shared" si="16"/>
        <v>-22.122471019404912</v>
      </c>
      <c r="GA56" s="34">
        <f t="shared" si="17"/>
        <v>22.218398850833378</v>
      </c>
      <c r="GB56" s="34">
        <f t="shared" si="18"/>
        <v>33.669926917439867</v>
      </c>
      <c r="GC56" s="34">
        <f t="shared" si="19"/>
        <v>132.88469355957074</v>
      </c>
      <c r="GD56" s="34">
        <f t="shared" si="20"/>
        <v>137.08393691839595</v>
      </c>
      <c r="GE56" s="55">
        <f t="shared" si="21"/>
        <v>283.16503654128007</v>
      </c>
      <c r="GF56" s="55">
        <f t="shared" si="22"/>
        <v>-66.442346779785368</v>
      </c>
      <c r="GG56" s="34">
        <f t="shared" si="23"/>
        <v>290.8556744590515</v>
      </c>
      <c r="GH56" s="30">
        <f t="shared" si="24"/>
        <v>123.2745395316058</v>
      </c>
      <c r="GI56" s="30">
        <f t="shared" si="0"/>
        <v>-55.456839663635236</v>
      </c>
      <c r="GJ56" s="34">
        <f t="shared" si="25"/>
        <v>135.17423261186869</v>
      </c>
      <c r="GK56" s="34">
        <f t="shared" si="26"/>
        <v>283.16503654128007</v>
      </c>
      <c r="GL56" s="34">
        <f t="shared" si="27"/>
        <v>-1339.6818915149481</v>
      </c>
      <c r="GM56" s="34">
        <f t="shared" si="28"/>
        <v>1369.2808361955897</v>
      </c>
      <c r="GN56" s="55">
        <f t="shared" si="1"/>
        <v>633.66992691743985</v>
      </c>
      <c r="GO56" s="55">
        <f t="shared" si="2"/>
        <v>132.88469355957074</v>
      </c>
      <c r="GP56" s="34">
        <f t="shared" si="29"/>
        <v>647.4534099547044</v>
      </c>
      <c r="GQ56" s="55">
        <f t="shared" si="30"/>
        <v>568.92434003204482</v>
      </c>
      <c r="GR56" s="55">
        <f t="shared" si="31"/>
        <v>-136.02396587447899</v>
      </c>
      <c r="GS56" s="34">
        <f t="shared" si="32"/>
        <v>584.9593353158142</v>
      </c>
      <c r="GT56" s="56">
        <f t="shared" si="33"/>
        <v>1089.3785434432091</v>
      </c>
      <c r="GU56" s="56">
        <f t="shared" si="33"/>
        <v>41.10566972390157</v>
      </c>
      <c r="GV56" s="34">
        <f t="shared" si="34"/>
        <v>1090.153790525859</v>
      </c>
      <c r="GW56" s="30">
        <f t="shared" si="35"/>
        <v>113.1469584559478</v>
      </c>
      <c r="GX56" s="30">
        <f t="shared" si="3"/>
        <v>-44.301555188915273</v>
      </c>
      <c r="GY56" s="34">
        <f t="shared" si="36"/>
        <v>121.51074849571326</v>
      </c>
      <c r="GZ56" s="34">
        <f t="shared" si="4"/>
        <v>599.93123494967222</v>
      </c>
      <c r="HA56" s="34">
        <f t="shared" si="4"/>
        <v>-5.661315010544854E-2</v>
      </c>
      <c r="HB56" s="34">
        <f t="shared" si="37"/>
        <v>599.93123762085236</v>
      </c>
      <c r="HC56" s="33">
        <f t="shared" si="5"/>
        <v>0.18860684595174479</v>
      </c>
      <c r="HD56" s="33">
        <f t="shared" si="6"/>
        <v>-7.3826590417400112E-2</v>
      </c>
      <c r="HE56" s="33">
        <f t="shared" si="38"/>
        <v>0.20254112617570721</v>
      </c>
      <c r="HF56" s="33">
        <f t="shared" si="39"/>
        <v>0.10240867043673772</v>
      </c>
      <c r="HG56" s="33">
        <f t="shared" si="7"/>
        <v>-4.5245195680006046E-2</v>
      </c>
      <c r="HH56" s="33">
        <f t="shared" si="40"/>
        <v>0.11195831149469161</v>
      </c>
      <c r="HI56" s="30">
        <f t="shared" si="54"/>
        <v>8.6813977315821314E-2</v>
      </c>
      <c r="HJ56" s="30">
        <f t="shared" si="41"/>
        <v>-6.5381627456428962E-2</v>
      </c>
      <c r="HK56" s="33">
        <f t="shared" si="42"/>
        <v>0.10868037479804347</v>
      </c>
      <c r="HL56" s="61">
        <f t="shared" si="43"/>
        <v>6.6302920142423755E-2</v>
      </c>
      <c r="HM56" s="61">
        <f t="shared" si="44"/>
        <v>-7.5811739927097846E-2</v>
      </c>
      <c r="HN56" s="33">
        <f t="shared" si="45"/>
        <v>0.10071493002622076</v>
      </c>
      <c r="HO56" s="30">
        <f t="shared" si="46"/>
        <v>-19.018873199842368</v>
      </c>
      <c r="HP56" s="30">
        <f t="shared" si="47"/>
        <v>0.89376416600204678</v>
      </c>
      <c r="HQ56" s="29">
        <v>1000</v>
      </c>
      <c r="HR56" s="30">
        <v>6283.1853071795858</v>
      </c>
      <c r="HS56" s="30">
        <f t="shared" si="48"/>
        <v>-19.912637365844414</v>
      </c>
      <c r="HT56" s="30">
        <f t="shared" si="49"/>
        <v>-19.938122893320692</v>
      </c>
      <c r="HU56" s="30">
        <f t="shared" si="50"/>
        <v>-2.5485527476277525E-2</v>
      </c>
      <c r="HV56" s="30">
        <f t="shared" si="8"/>
        <v>0</v>
      </c>
      <c r="HW56" s="30">
        <f t="shared" si="9"/>
        <v>0</v>
      </c>
      <c r="HX56" s="73">
        <f t="shared" si="10"/>
        <v>-6.8762379147642605E-2</v>
      </c>
      <c r="HY56" s="30">
        <f t="shared" si="51"/>
        <v>0.9192496934783243</v>
      </c>
      <c r="HZ56" s="74">
        <f t="shared" si="52"/>
        <v>0</v>
      </c>
    </row>
    <row r="57" spans="7:234" ht="15" customHeight="1" thickBot="1">
      <c r="G57" s="30" t="s">
        <v>242</v>
      </c>
      <c r="AY57" s="104"/>
      <c r="BC57" s="108">
        <f>(CK38+BP50)^2+(CP38+BV50)^2</f>
        <v>11895006.935077179</v>
      </c>
      <c r="BD57" s="108"/>
      <c r="BE57" s="108"/>
      <c r="BF57" s="108"/>
      <c r="BG57" s="108"/>
      <c r="BH57" s="108"/>
      <c r="BI57" s="108"/>
      <c r="BJ57" s="108"/>
      <c r="BK57" s="108"/>
      <c r="BL57" s="108"/>
      <c r="BM57" s="108"/>
      <c r="BS57" s="107"/>
      <c r="BV57" s="108">
        <f>BC57</f>
        <v>11895006.935077179</v>
      </c>
      <c r="BW57" s="108"/>
      <c r="BX57" s="108"/>
      <c r="BY57" s="108"/>
      <c r="BZ57" s="108"/>
      <c r="CA57" s="108"/>
      <c r="CB57" s="108"/>
      <c r="CC57" s="108"/>
      <c r="CD57" s="108"/>
      <c r="CE57" s="108"/>
      <c r="CF57" s="108"/>
      <c r="CG57" s="108"/>
      <c r="FO57" s="93" t="s">
        <v>210</v>
      </c>
      <c r="FP57" s="30">
        <f>BH48</f>
        <v>602.48600471203088</v>
      </c>
      <c r="FQ57" s="91" t="s">
        <v>212</v>
      </c>
      <c r="FR57" s="30">
        <f>BM48</f>
        <v>-1.4489274890099093</v>
      </c>
      <c r="FT57" s="29">
        <v>1100</v>
      </c>
      <c r="FU57" s="27">
        <f t="shared" si="12"/>
        <v>6911.5038378975451</v>
      </c>
      <c r="FV57" s="30">
        <f t="shared" si="53"/>
        <v>487.495048017562</v>
      </c>
      <c r="FW57" s="30">
        <f t="shared" si="13"/>
        <v>40.282913631234692</v>
      </c>
      <c r="FX57" s="34">
        <f t="shared" si="14"/>
        <v>489.15655466554529</v>
      </c>
      <c r="FY57" s="30">
        <f t="shared" si="15"/>
        <v>1.7070214457644795</v>
      </c>
      <c r="FZ57" s="30">
        <f t="shared" si="16"/>
        <v>-20.141456815617346</v>
      </c>
      <c r="GA57" s="34">
        <f t="shared" si="17"/>
        <v>20.213663816133835</v>
      </c>
      <c r="GB57" s="34">
        <f t="shared" si="18"/>
        <v>39.808824709269523</v>
      </c>
      <c r="GC57" s="34">
        <f t="shared" si="19"/>
        <v>144.58867685395842</v>
      </c>
      <c r="GD57" s="34">
        <f t="shared" si="20"/>
        <v>149.96875674323556</v>
      </c>
      <c r="GE57" s="55">
        <f t="shared" si="21"/>
        <v>280.09558764536524</v>
      </c>
      <c r="GF57" s="55">
        <f t="shared" si="22"/>
        <v>-72.294338426979209</v>
      </c>
      <c r="GG57" s="34">
        <f t="shared" si="23"/>
        <v>289.27497227896691</v>
      </c>
      <c r="GH57" s="30">
        <f t="shared" si="24"/>
        <v>122.91915184119259</v>
      </c>
      <c r="GI57" s="30">
        <f t="shared" si="0"/>
        <v>-50.445428310372769</v>
      </c>
      <c r="GJ57" s="34">
        <f t="shared" si="25"/>
        <v>132.86782577725549</v>
      </c>
      <c r="GK57" s="34">
        <f t="shared" si="26"/>
        <v>280.09558764536524</v>
      </c>
      <c r="GL57" s="34">
        <f t="shared" si="27"/>
        <v>-1229.7848336407635</v>
      </c>
      <c r="GM57" s="34">
        <f t="shared" si="28"/>
        <v>1261.2788253480048</v>
      </c>
      <c r="GN57" s="55">
        <f t="shared" si="1"/>
        <v>639.80882470926952</v>
      </c>
      <c r="GO57" s="55">
        <f t="shared" si="2"/>
        <v>144.58867685395842</v>
      </c>
      <c r="GP57" s="34">
        <f t="shared" si="29"/>
        <v>655.94299878132335</v>
      </c>
      <c r="GQ57" s="55">
        <f t="shared" si="30"/>
        <v>562.45458638654009</v>
      </c>
      <c r="GR57" s="55">
        <f t="shared" si="31"/>
        <v>-147.79251116420167</v>
      </c>
      <c r="GS57" s="34">
        <f t="shared" si="32"/>
        <v>581.54775221255443</v>
      </c>
      <c r="GT57" s="56">
        <f t="shared" si="33"/>
        <v>1089.7584591133716</v>
      </c>
      <c r="GU57" s="56">
        <f t="shared" si="33"/>
        <v>37.07907932099144</v>
      </c>
      <c r="GV57" s="34">
        <f t="shared" si="34"/>
        <v>1090.3890852959059</v>
      </c>
      <c r="GW57" s="30">
        <f t="shared" si="35"/>
        <v>112.44685125636352</v>
      </c>
      <c r="GX57" s="30">
        <f t="shared" si="3"/>
        <v>-40.334379842706873</v>
      </c>
      <c r="GY57" s="34">
        <f t="shared" si="36"/>
        <v>119.46194605298584</v>
      </c>
      <c r="GZ57" s="34">
        <f t="shared" si="4"/>
        <v>599.94189927392551</v>
      </c>
      <c r="HA57" s="34">
        <f t="shared" si="4"/>
        <v>-5.1466211472181556E-2</v>
      </c>
      <c r="HB57" s="34">
        <f t="shared" si="37"/>
        <v>599.94190148144844</v>
      </c>
      <c r="HC57" s="33">
        <f t="shared" si="5"/>
        <v>0.18743533442629681</v>
      </c>
      <c r="HD57" s="33">
        <f t="shared" si="6"/>
        <v>-6.7214397435735998E-2</v>
      </c>
      <c r="HE57" s="33">
        <f t="shared" si="38"/>
        <v>0.19912252462779495</v>
      </c>
      <c r="HF57" s="33">
        <f t="shared" si="39"/>
        <v>0.10198923924076585</v>
      </c>
      <c r="HG57" s="33">
        <f t="shared" si="7"/>
        <v>-4.1167793419084026E-2</v>
      </c>
      <c r="HH57" s="33">
        <f t="shared" si="40"/>
        <v>0.10998450861783467</v>
      </c>
      <c r="HI57" s="30">
        <f t="shared" si="54"/>
        <v>8.5480750090275365E-2</v>
      </c>
      <c r="HJ57" s="30">
        <f t="shared" si="41"/>
        <v>-6.3019590995964256E-2</v>
      </c>
      <c r="HK57" s="33">
        <f t="shared" si="42"/>
        <v>0.1061999410795257</v>
      </c>
      <c r="HL57" s="61">
        <f t="shared" si="43"/>
        <v>6.3560577299709847E-2</v>
      </c>
      <c r="HM57" s="61">
        <f t="shared" si="44"/>
        <v>-7.3462404009158683E-2</v>
      </c>
      <c r="HN57" s="33">
        <f t="shared" si="45"/>
        <v>9.7142533369668951E-2</v>
      </c>
      <c r="HO57" s="30">
        <f t="shared" si="46"/>
        <v>-19.173369623304232</v>
      </c>
      <c r="HP57" s="30">
        <f t="shared" si="47"/>
        <v>1.0534629821161339</v>
      </c>
      <c r="HQ57" s="29">
        <v>1100</v>
      </c>
      <c r="HR57" s="30">
        <v>6911.5038378975451</v>
      </c>
      <c r="HS57" s="30">
        <f t="shared" si="48"/>
        <v>-20.226832605420366</v>
      </c>
      <c r="HT57" s="30">
        <f t="shared" si="49"/>
        <v>-20.251811495925217</v>
      </c>
      <c r="HU57" s="30">
        <f t="shared" si="50"/>
        <v>-2.4978890504851137E-2</v>
      </c>
      <c r="HV57" s="30">
        <f t="shared" si="8"/>
        <v>-0.31368860260452536</v>
      </c>
      <c r="HW57" s="30">
        <f t="shared" si="9"/>
        <v>-0.31419523957595175</v>
      </c>
      <c r="HX57" s="73">
        <f t="shared" si="10"/>
        <v>-5.8098518551560119E-2</v>
      </c>
      <c r="HY57" s="30">
        <f t="shared" si="51"/>
        <v>0.76475327001645965</v>
      </c>
      <c r="HZ57" s="74">
        <f t="shared" si="52"/>
        <v>5.0663697142638853E-4</v>
      </c>
    </row>
    <row r="58" spans="7:234" ht="15" customHeight="1">
      <c r="G58" s="30" t="s">
        <v>243</v>
      </c>
      <c r="Q58" s="3" t="s">
        <v>265</v>
      </c>
      <c r="AU58" s="108" t="s">
        <v>117</v>
      </c>
      <c r="AV58" s="108"/>
      <c r="AW58" s="108"/>
      <c r="AX58" s="108"/>
      <c r="AY58" s="108" t="s">
        <v>33</v>
      </c>
      <c r="AZ58" s="151">
        <f>AZ56/BC57</f>
        <v>603.99885983476929</v>
      </c>
      <c r="BA58" s="152"/>
      <c r="BB58" s="152"/>
      <c r="BC58" s="152"/>
      <c r="BD58" s="153"/>
      <c r="BE58" s="109" t="s">
        <v>115</v>
      </c>
      <c r="BF58" s="151">
        <f>BT56/BV57</f>
        <v>-59.7499950828579</v>
      </c>
      <c r="BG58" s="152"/>
      <c r="BH58" s="152"/>
      <c r="BI58" s="152"/>
      <c r="BJ58" s="153"/>
      <c r="FO58" s="93" t="s">
        <v>211</v>
      </c>
      <c r="FP58" s="30">
        <f>AZ58</f>
        <v>603.99885983476929</v>
      </c>
      <c r="FQ58" s="91" t="s">
        <v>212</v>
      </c>
      <c r="FR58" s="30">
        <f>BF58</f>
        <v>-59.7499950828579</v>
      </c>
      <c r="FT58" s="29">
        <v>1200</v>
      </c>
      <c r="FU58" s="27">
        <f t="shared" si="12"/>
        <v>7539.8223686155034</v>
      </c>
      <c r="FV58" s="30">
        <f t="shared" si="53"/>
        <v>488.03707508674609</v>
      </c>
      <c r="FW58" s="30">
        <f t="shared" si="13"/>
        <v>36.968113703483048</v>
      </c>
      <c r="FX58" s="34">
        <f t="shared" si="14"/>
        <v>489.43521337355764</v>
      </c>
      <c r="FY58" s="30">
        <f t="shared" si="15"/>
        <v>1.436007911172458</v>
      </c>
      <c r="FZ58" s="30">
        <f t="shared" si="16"/>
        <v>-18.484056851741524</v>
      </c>
      <c r="GA58" s="34">
        <f t="shared" si="17"/>
        <v>18.53975394710951</v>
      </c>
      <c r="GB58" s="34">
        <f t="shared" si="18"/>
        <v>46.381466152268231</v>
      </c>
      <c r="GC58" s="34">
        <f t="shared" si="19"/>
        <v>155.88244251729137</v>
      </c>
      <c r="GD58" s="34">
        <f t="shared" si="20"/>
        <v>162.63633138874798</v>
      </c>
      <c r="GE58" s="55">
        <f t="shared" si="21"/>
        <v>276.80926692386589</v>
      </c>
      <c r="GF58" s="55">
        <f t="shared" si="22"/>
        <v>-77.941221258645683</v>
      </c>
      <c r="GG58" s="34">
        <f t="shared" si="23"/>
        <v>287.57295461537615</v>
      </c>
      <c r="GH58" s="30">
        <f t="shared" si="24"/>
        <v>122.64813683982237</v>
      </c>
      <c r="GI58" s="30">
        <f t="shared" si="0"/>
        <v>-46.262697388601069</v>
      </c>
      <c r="GJ58" s="34">
        <f t="shared" si="25"/>
        <v>131.08318976874597</v>
      </c>
      <c r="GK58" s="34">
        <f t="shared" si="26"/>
        <v>276.80926692386589</v>
      </c>
      <c r="GL58" s="34">
        <f t="shared" si="27"/>
        <v>-1138.9741752046148</v>
      </c>
      <c r="GM58" s="34">
        <f t="shared" si="28"/>
        <v>1172.1286371546259</v>
      </c>
      <c r="GN58" s="55">
        <f t="shared" si="1"/>
        <v>646.38146615226822</v>
      </c>
      <c r="GO58" s="55">
        <f t="shared" si="2"/>
        <v>155.88244251729137</v>
      </c>
      <c r="GP58" s="34">
        <f t="shared" si="29"/>
        <v>664.91227667288001</v>
      </c>
      <c r="GQ58" s="55">
        <f t="shared" si="30"/>
        <v>555.5648473433821</v>
      </c>
      <c r="GR58" s="55">
        <f t="shared" si="31"/>
        <v>-159.11217366144044</v>
      </c>
      <c r="GS58" s="34">
        <f t="shared" si="32"/>
        <v>577.90049611584845</v>
      </c>
      <c r="GT58" s="56">
        <f t="shared" si="33"/>
        <v>1089.9833885823964</v>
      </c>
      <c r="GU58" s="56">
        <f t="shared" si="33"/>
        <v>33.738382559333985</v>
      </c>
      <c r="GV58" s="34">
        <f t="shared" si="34"/>
        <v>1090.5054176129909</v>
      </c>
      <c r="GW58" s="30">
        <f t="shared" si="35"/>
        <v>111.9126870387889</v>
      </c>
      <c r="GX58" s="30">
        <f t="shared" si="3"/>
        <v>-37.015359766608654</v>
      </c>
      <c r="GY58" s="34">
        <f t="shared" si="36"/>
        <v>117.87530012217734</v>
      </c>
      <c r="GZ58" s="34">
        <f t="shared" ref="GZ58:HA86" si="56">FV58+GW58</f>
        <v>599.94976212553502</v>
      </c>
      <c r="HA58" s="34">
        <f t="shared" si="56"/>
        <v>-4.7246063125605531E-2</v>
      </c>
      <c r="HB58" s="34">
        <f t="shared" si="37"/>
        <v>599.94976398584947</v>
      </c>
      <c r="HC58" s="33">
        <f t="shared" si="5"/>
        <v>0.18654162126677404</v>
      </c>
      <c r="HD58" s="33">
        <f t="shared" si="6"/>
        <v>-6.1682742032075993E-2</v>
      </c>
      <c r="HE58" s="33">
        <f t="shared" si="38"/>
        <v>0.19647528376218773</v>
      </c>
      <c r="HF58" s="33">
        <f t="shared" si="39"/>
        <v>0.10166643284553124</v>
      </c>
      <c r="HG58" s="33">
        <f t="shared" si="7"/>
        <v>-3.7764097959985046E-2</v>
      </c>
      <c r="HH58" s="33">
        <f t="shared" si="40"/>
        <v>0.10845363369784464</v>
      </c>
      <c r="HI58" s="30">
        <f t="shared" si="54"/>
        <v>8.4179390386439484E-2</v>
      </c>
      <c r="HJ58" s="30">
        <f t="shared" si="41"/>
        <v>-6.1276055373826833E-2</v>
      </c>
      <c r="HK58" s="33">
        <f t="shared" si="42"/>
        <v>0.10411976146730684</v>
      </c>
      <c r="HL58" s="61">
        <f t="shared" si="43"/>
        <v>6.0881190846960538E-2</v>
      </c>
      <c r="HM58" s="61">
        <f t="shared" si="44"/>
        <v>-7.1561367983260141E-2</v>
      </c>
      <c r="HN58" s="33">
        <f t="shared" si="45"/>
        <v>9.3955035983067994E-2</v>
      </c>
      <c r="HO58" s="30">
        <f t="shared" si="46"/>
        <v>-19.295117850683948</v>
      </c>
      <c r="HP58" s="30">
        <f t="shared" si="47"/>
        <v>1.2221334557447072</v>
      </c>
      <c r="HQ58" s="29">
        <v>1200</v>
      </c>
      <c r="HR58" s="30">
        <v>7539.8223686155034</v>
      </c>
      <c r="HS58" s="30">
        <f t="shared" si="48"/>
        <v>-20.517251306428655</v>
      </c>
      <c r="HT58" s="30">
        <f t="shared" si="49"/>
        <v>-20.541598735741246</v>
      </c>
      <c r="HU58" s="30">
        <f t="shared" si="50"/>
        <v>-2.4347429312591373E-2</v>
      </c>
      <c r="HV58" s="30">
        <f t="shared" si="8"/>
        <v>-0.60347584242055419</v>
      </c>
      <c r="HW58" s="30">
        <f t="shared" si="9"/>
        <v>-0.60461394058424034</v>
      </c>
      <c r="HX58" s="73">
        <f t="shared" si="10"/>
        <v>-5.0236014150527808E-2</v>
      </c>
      <c r="HY58" s="30">
        <f t="shared" si="51"/>
        <v>0.64300504263674441</v>
      </c>
      <c r="HZ58" s="74">
        <f t="shared" si="52"/>
        <v>1.138098163686152E-3</v>
      </c>
    </row>
    <row r="59" spans="7:234" ht="15" customHeight="1" thickBot="1">
      <c r="AU59" s="108"/>
      <c r="AV59" s="108"/>
      <c r="AW59" s="108"/>
      <c r="AX59" s="108"/>
      <c r="AY59" s="108"/>
      <c r="AZ59" s="159"/>
      <c r="BA59" s="155"/>
      <c r="BB59" s="155"/>
      <c r="BC59" s="155"/>
      <c r="BD59" s="156"/>
      <c r="BE59" s="109"/>
      <c r="BF59" s="159"/>
      <c r="BG59" s="155"/>
      <c r="BH59" s="155"/>
      <c r="BI59" s="155"/>
      <c r="BJ59" s="156"/>
      <c r="FT59" s="29">
        <v>1300</v>
      </c>
      <c r="FU59" s="27">
        <f t="shared" si="12"/>
        <v>8168.1408993334617</v>
      </c>
      <c r="FV59" s="30">
        <f t="shared" si="53"/>
        <v>488.45975576006373</v>
      </c>
      <c r="FW59" s="30">
        <f t="shared" si="13"/>
        <v>34.154724316369474</v>
      </c>
      <c r="FX59" s="34">
        <f t="shared" si="14"/>
        <v>489.65240547791484</v>
      </c>
      <c r="FY59" s="30">
        <f t="shared" si="15"/>
        <v>1.2246675745136253</v>
      </c>
      <c r="FZ59" s="30">
        <f t="shared" si="16"/>
        <v>-17.077362158184737</v>
      </c>
      <c r="GA59" s="34">
        <f t="shared" si="17"/>
        <v>17.121218091884266</v>
      </c>
      <c r="GB59" s="34">
        <f t="shared" si="18"/>
        <v>53.35291249391873</v>
      </c>
      <c r="GC59" s="34">
        <f t="shared" si="19"/>
        <v>166.7461157536907</v>
      </c>
      <c r="GD59" s="34">
        <f t="shared" si="20"/>
        <v>175.07369988244085</v>
      </c>
      <c r="GE59" s="55">
        <f t="shared" si="21"/>
        <v>273.32354375304061</v>
      </c>
      <c r="GF59" s="55">
        <f t="shared" si="22"/>
        <v>-83.373057876845351</v>
      </c>
      <c r="GG59" s="34">
        <f t="shared" si="23"/>
        <v>285.75658583741534</v>
      </c>
      <c r="GH59" s="30">
        <f t="shared" si="24"/>
        <v>122.43679536166522</v>
      </c>
      <c r="GI59" s="30">
        <f t="shared" si="0"/>
        <v>-42.719184192209227</v>
      </c>
      <c r="GJ59" s="34">
        <f t="shared" si="25"/>
        <v>129.6753544683113</v>
      </c>
      <c r="GK59" s="34">
        <f t="shared" si="26"/>
        <v>273.32354375304061</v>
      </c>
      <c r="GL59" s="34">
        <f t="shared" si="27"/>
        <v>-1062.7880922885092</v>
      </c>
      <c r="GM59" s="34">
        <f t="shared" si="28"/>
        <v>1097.371536299338</v>
      </c>
      <c r="GN59" s="55">
        <f t="shared" si="1"/>
        <v>653.35291249391878</v>
      </c>
      <c r="GO59" s="55">
        <f t="shared" si="2"/>
        <v>166.7461157536907</v>
      </c>
      <c r="GP59" s="34">
        <f t="shared" si="29"/>
        <v>674.29540661584633</v>
      </c>
      <c r="GQ59" s="55">
        <f t="shared" si="30"/>
        <v>548.29405865196588</v>
      </c>
      <c r="GR59" s="55">
        <f t="shared" si="31"/>
        <v>-169.96823767034326</v>
      </c>
      <c r="GS59" s="34">
        <f t="shared" si="32"/>
        <v>574.03447332874327</v>
      </c>
      <c r="GT59" s="56">
        <f t="shared" si="33"/>
        <v>1090.1067269059483</v>
      </c>
      <c r="GU59" s="56">
        <f t="shared" si="33"/>
        <v>30.932602399716927</v>
      </c>
      <c r="GV59" s="34">
        <f t="shared" si="34"/>
        <v>1090.5455065868728</v>
      </c>
      <c r="GW59" s="30">
        <f t="shared" si="35"/>
        <v>111.4959333967132</v>
      </c>
      <c r="GX59" s="30">
        <f t="shared" si="3"/>
        <v>-34.198381044322673</v>
      </c>
      <c r="GY59" s="34">
        <f t="shared" si="36"/>
        <v>116.6227783499304</v>
      </c>
      <c r="GZ59" s="34">
        <f t="shared" si="56"/>
        <v>599.95568915677688</v>
      </c>
      <c r="HA59" s="34">
        <f t="shared" si="56"/>
        <v>-4.3656727953198526E-2</v>
      </c>
      <c r="HB59" s="34">
        <f t="shared" si="37"/>
        <v>599.95569074515242</v>
      </c>
      <c r="HC59" s="33">
        <f t="shared" si="5"/>
        <v>0.18584442704846313</v>
      </c>
      <c r="HD59" s="33">
        <f t="shared" si="6"/>
        <v>-5.6987988117560798E-2</v>
      </c>
      <c r="HE59" s="33">
        <f t="shared" si="38"/>
        <v>0.19438565238890132</v>
      </c>
      <c r="HF59" s="33">
        <f t="shared" si="39"/>
        <v>0.1014122718974954</v>
      </c>
      <c r="HG59" s="33">
        <f t="shared" si="7"/>
        <v>-3.4879529123799637E-2</v>
      </c>
      <c r="HH59" s="33">
        <f t="shared" si="40"/>
        <v>0.10724285730672006</v>
      </c>
      <c r="HI59" s="30">
        <f t="shared" si="54"/>
        <v>8.288687242552463E-2</v>
      </c>
      <c r="HJ59" s="30">
        <f t="shared" si="41"/>
        <v>-5.9992044907550168E-2</v>
      </c>
      <c r="HK59" s="33">
        <f t="shared" si="42"/>
        <v>0.10231949507632801</v>
      </c>
      <c r="HL59" s="61">
        <f t="shared" si="43"/>
        <v>5.8262724975547749E-2</v>
      </c>
      <c r="HM59" s="61">
        <f t="shared" si="44"/>
        <v>-6.9962663597759184E-2</v>
      </c>
      <c r="HN59" s="33">
        <f t="shared" si="45"/>
        <v>9.1045699619858672E-2</v>
      </c>
      <c r="HO59" s="30">
        <f t="shared" si="46"/>
        <v>-19.392632469685722</v>
      </c>
      <c r="HP59" s="30">
        <f t="shared" si="47"/>
        <v>1.3985508806532039</v>
      </c>
      <c r="HQ59" s="29">
        <v>1300</v>
      </c>
      <c r="HR59" s="30">
        <v>8168.1408993334617</v>
      </c>
      <c r="HS59" s="30">
        <f t="shared" si="48"/>
        <v>-20.791183350338926</v>
      </c>
      <c r="HT59" s="30">
        <f t="shared" si="49"/>
        <v>-20.814811250093332</v>
      </c>
      <c r="HU59" s="30">
        <f t="shared" si="50"/>
        <v>-2.362789975440549E-2</v>
      </c>
      <c r="HV59" s="30">
        <f t="shared" si="8"/>
        <v>-0.87668835677263957</v>
      </c>
      <c r="HW59" s="30">
        <f t="shared" si="9"/>
        <v>-0.8785459844945116</v>
      </c>
      <c r="HX59" s="73">
        <f t="shared" si="10"/>
        <v>-4.4309254847576085E-2</v>
      </c>
      <c r="HY59" s="30">
        <f t="shared" si="51"/>
        <v>0.5454904236349698</v>
      </c>
      <c r="HZ59" s="74">
        <f t="shared" si="52"/>
        <v>1.857627721872035E-3</v>
      </c>
    </row>
    <row r="60" spans="7:234" ht="15" customHeight="1">
      <c r="G60" s="30" t="s">
        <v>244</v>
      </c>
      <c r="AY60" s="104"/>
      <c r="FT60" s="29">
        <v>1500</v>
      </c>
      <c r="FU60" s="27">
        <f t="shared" si="12"/>
        <v>9424.7779607693792</v>
      </c>
      <c r="FV60" s="30">
        <f t="shared" si="53"/>
        <v>489.06702233165771</v>
      </c>
      <c r="FW60" s="30">
        <f t="shared" si="13"/>
        <v>29.638503420815386</v>
      </c>
      <c r="FX60" s="34">
        <f t="shared" si="14"/>
        <v>489.96427749110433</v>
      </c>
      <c r="FY60" s="30">
        <f t="shared" si="15"/>
        <v>0.92103428871661031</v>
      </c>
      <c r="FZ60" s="30">
        <f t="shared" si="16"/>
        <v>-14.819251710407693</v>
      </c>
      <c r="GA60" s="34">
        <f t="shared" si="17"/>
        <v>14.847845817404391</v>
      </c>
      <c r="GB60" s="34">
        <f t="shared" si="18"/>
        <v>68.349300754671162</v>
      </c>
      <c r="GC60" s="34">
        <f t="shared" si="19"/>
        <v>187.12119559201264</v>
      </c>
      <c r="GD60" s="34">
        <f t="shared" si="20"/>
        <v>199.21337493611404</v>
      </c>
      <c r="GE60" s="55">
        <f t="shared" si="21"/>
        <v>265.82534962266442</v>
      </c>
      <c r="GF60" s="55">
        <f t="shared" si="22"/>
        <v>-93.56059779600632</v>
      </c>
      <c r="GG60" s="34">
        <f t="shared" si="23"/>
        <v>281.80969103626978</v>
      </c>
      <c r="GH60" s="30">
        <f t="shared" si="24"/>
        <v>122.1331604394162</v>
      </c>
      <c r="GI60" s="30">
        <f t="shared" si="0"/>
        <v>-37.042164139895945</v>
      </c>
      <c r="GJ60" s="34">
        <f t="shared" si="25"/>
        <v>127.62692036983096</v>
      </c>
      <c r="GK60" s="34">
        <f t="shared" si="26"/>
        <v>265.82534962266442</v>
      </c>
      <c r="GL60" s="34">
        <f t="shared" si="27"/>
        <v>-942.38696095278146</v>
      </c>
      <c r="GM60" s="34">
        <f t="shared" si="28"/>
        <v>979.16101876853281</v>
      </c>
      <c r="GN60" s="55">
        <f t="shared" si="1"/>
        <v>668.34930075467116</v>
      </c>
      <c r="GO60" s="55">
        <f t="shared" si="2"/>
        <v>187.12119559201264</v>
      </c>
      <c r="GP60" s="34">
        <f t="shared" si="29"/>
        <v>694.04980344283808</v>
      </c>
      <c r="GQ60" s="55">
        <f t="shared" si="30"/>
        <v>532.76205895401552</v>
      </c>
      <c r="GR60" s="55">
        <f t="shared" si="31"/>
        <v>-190.24832762287272</v>
      </c>
      <c r="GS60" s="34">
        <f t="shared" si="32"/>
        <v>565.71179731752272</v>
      </c>
      <c r="GT60" s="56">
        <f t="shared" si="33"/>
        <v>1090.1783820403443</v>
      </c>
      <c r="GU60" s="56">
        <f t="shared" si="33"/>
        <v>26.511371389955315</v>
      </c>
      <c r="GV60" s="34">
        <f t="shared" si="34"/>
        <v>1090.5006911878045</v>
      </c>
      <c r="GW60" s="30">
        <f t="shared" si="35"/>
        <v>110.89681090052788</v>
      </c>
      <c r="GX60" s="30">
        <f t="shared" si="3"/>
        <v>-29.676214736068207</v>
      </c>
      <c r="GY60" s="34">
        <f t="shared" si="36"/>
        <v>114.79886928436478</v>
      </c>
      <c r="GZ60" s="34">
        <f t="shared" si="56"/>
        <v>599.96383323218561</v>
      </c>
      <c r="HA60" s="34">
        <f t="shared" si="56"/>
        <v>-3.7711315252821009E-2</v>
      </c>
      <c r="HB60" s="34">
        <f t="shared" si="37"/>
        <v>599.96383441737646</v>
      </c>
      <c r="HC60" s="33">
        <f t="shared" si="5"/>
        <v>0.18484226822894267</v>
      </c>
      <c r="HD60" s="33">
        <f t="shared" si="6"/>
        <v>-4.9451720999883993E-2</v>
      </c>
      <c r="HE60" s="33">
        <f t="shared" si="38"/>
        <v>0.19134298219132773</v>
      </c>
      <c r="HF60" s="33">
        <f t="shared" si="39"/>
        <v>0.10104223221728055</v>
      </c>
      <c r="HG60" s="33">
        <f t="shared" si="7"/>
        <v>-3.0254485060016788E-2</v>
      </c>
      <c r="HH60" s="33">
        <f t="shared" si="40"/>
        <v>0.1054744829695677</v>
      </c>
      <c r="HI60" s="30">
        <f t="shared" si="54"/>
        <v>8.0281550708011212E-2</v>
      </c>
      <c r="HJ60" s="30">
        <f t="shared" si="41"/>
        <v>-5.8376049423000752E-2</v>
      </c>
      <c r="HK60" s="33">
        <f t="shared" si="42"/>
        <v>9.9261727419583029E-2</v>
      </c>
      <c r="HL60" s="61">
        <f t="shared" si="43"/>
        <v>5.3226822160864044E-2</v>
      </c>
      <c r="HM60" s="61">
        <f t="shared" si="44"/>
        <v>-6.7308361366293173E-2</v>
      </c>
      <c r="HN60" s="33">
        <f t="shared" si="45"/>
        <v>8.5810897368339856E-2</v>
      </c>
      <c r="HO60" s="30">
        <f t="shared" si="46"/>
        <v>-19.537051896596729</v>
      </c>
      <c r="HP60" s="30">
        <f t="shared" si="47"/>
        <v>1.7700647542954755</v>
      </c>
      <c r="HQ60" s="29">
        <v>1500</v>
      </c>
      <c r="HR60" s="30">
        <v>9424.7779607693792</v>
      </c>
      <c r="HS60" s="30">
        <f t="shared" si="48"/>
        <v>-21.307116650892205</v>
      </c>
      <c r="HT60" s="30">
        <f t="shared" si="49"/>
        <v>-21.329151127310936</v>
      </c>
      <c r="HU60" s="30">
        <f t="shared" si="50"/>
        <v>-2.2034476418731685E-2</v>
      </c>
      <c r="HV60" s="30">
        <f t="shared" si="8"/>
        <v>-1.3910282339902444</v>
      </c>
      <c r="HW60" s="30">
        <f t="shared" si="9"/>
        <v>-1.3944792850477903</v>
      </c>
      <c r="HX60" s="73">
        <f t="shared" si="10"/>
        <v>-3.6165582623539194E-2</v>
      </c>
      <c r="HY60" s="30">
        <f t="shared" si="51"/>
        <v>0.40107099672396274</v>
      </c>
      <c r="HZ60" s="74">
        <f t="shared" si="52"/>
        <v>3.4510510575458397E-3</v>
      </c>
    </row>
    <row r="61" spans="7:234" ht="15" customHeight="1">
      <c r="G61" s="30" t="s">
        <v>245</v>
      </c>
      <c r="AY61" s="104"/>
      <c r="FT61" s="29">
        <v>1700</v>
      </c>
      <c r="FU61" s="27">
        <f t="shared" si="12"/>
        <v>10681.415022205296</v>
      </c>
      <c r="FV61" s="30">
        <f t="shared" si="53"/>
        <v>489.4737313576926</v>
      </c>
      <c r="FW61" s="30">
        <f t="shared" si="13"/>
        <v>26.173924301610434</v>
      </c>
      <c r="FX61" s="34">
        <f t="shared" si="14"/>
        <v>490.17303883686736</v>
      </c>
      <c r="FY61" s="30">
        <f t="shared" si="15"/>
        <v>0.71767977569911978</v>
      </c>
      <c r="FZ61" s="30">
        <f t="shared" si="16"/>
        <v>-13.086962150805217</v>
      </c>
      <c r="GA61" s="34">
        <f t="shared" si="17"/>
        <v>13.106625904368212</v>
      </c>
      <c r="GB61" s="34">
        <f t="shared" si="18"/>
        <v>84.511143102449154</v>
      </c>
      <c r="GC61" s="34">
        <f t="shared" si="19"/>
        <v>205.62387460001833</v>
      </c>
      <c r="GD61" s="34">
        <f t="shared" si="20"/>
        <v>222.31354235405163</v>
      </c>
      <c r="GE61" s="55">
        <f t="shared" si="21"/>
        <v>257.74442844877541</v>
      </c>
      <c r="GF61" s="55">
        <f t="shared" si="22"/>
        <v>-102.81193730000916</v>
      </c>
      <c r="GG61" s="34">
        <f t="shared" si="23"/>
        <v>277.49321585899526</v>
      </c>
      <c r="GH61" s="30">
        <f t="shared" si="24"/>
        <v>121.92980483273429</v>
      </c>
      <c r="GI61" s="30">
        <f t="shared" si="0"/>
        <v>-32.69541429447154</v>
      </c>
      <c r="GJ61" s="34">
        <f t="shared" si="25"/>
        <v>126.23734559327445</v>
      </c>
      <c r="GK61" s="34">
        <f t="shared" si="26"/>
        <v>257.74442844877541</v>
      </c>
      <c r="GL61" s="34">
        <f t="shared" si="27"/>
        <v>-851.77637537951682</v>
      </c>
      <c r="GM61" s="34">
        <f t="shared" si="28"/>
        <v>889.91863900642818</v>
      </c>
      <c r="GN61" s="55">
        <f t="shared" si="1"/>
        <v>684.51114310244918</v>
      </c>
      <c r="GO61" s="55">
        <f t="shared" si="2"/>
        <v>205.62387460001833</v>
      </c>
      <c r="GP61" s="34">
        <f t="shared" si="29"/>
        <v>714.72839795054017</v>
      </c>
      <c r="GQ61" s="55">
        <f t="shared" si="30"/>
        <v>516.15506169189416</v>
      </c>
      <c r="GR61" s="55">
        <f t="shared" si="31"/>
        <v>-208.58155088297224</v>
      </c>
      <c r="GS61" s="34">
        <f t="shared" si="32"/>
        <v>556.70666520072223</v>
      </c>
      <c r="GT61" s="56">
        <f t="shared" si="33"/>
        <v>1090.1399361520359</v>
      </c>
      <c r="GU61" s="56">
        <f t="shared" si="33"/>
        <v>23.216248018656529</v>
      </c>
      <c r="GV61" s="34">
        <f t="shared" si="34"/>
        <v>1090.3871214232258</v>
      </c>
      <c r="GW61" s="30">
        <f t="shared" si="35"/>
        <v>110.49531904751734</v>
      </c>
      <c r="GX61" s="30">
        <f t="shared" si="3"/>
        <v>-26.206759962358387</v>
      </c>
      <c r="GY61" s="34">
        <f t="shared" si="36"/>
        <v>113.56059967760525</v>
      </c>
      <c r="GZ61" s="34">
        <f t="shared" si="56"/>
        <v>599.96905040520994</v>
      </c>
      <c r="HA61" s="34">
        <f t="shared" si="56"/>
        <v>-3.2835660747952744E-2</v>
      </c>
      <c r="HB61" s="34">
        <f t="shared" si="37"/>
        <v>599.96905130374012</v>
      </c>
      <c r="HC61" s="33">
        <f t="shared" si="5"/>
        <v>0.18417075499095487</v>
      </c>
      <c r="HD61" s="33">
        <f t="shared" si="6"/>
        <v>-4.3670106943403571E-2</v>
      </c>
      <c r="HE61" s="33">
        <f t="shared" si="38"/>
        <v>0.1892774292787881</v>
      </c>
      <c r="HF61" s="33">
        <f t="shared" si="39"/>
        <v>0.10079065514112981</v>
      </c>
      <c r="HG61" s="33">
        <f t="shared" si="7"/>
        <v>-2.6708365372981348E-2</v>
      </c>
      <c r="HH61" s="33">
        <f t="shared" si="40"/>
        <v>0.10426932887803021</v>
      </c>
      <c r="HI61" s="30">
        <f t="shared" si="54"/>
        <v>7.7618820096054086E-2</v>
      </c>
      <c r="HJ61" s="30">
        <f t="shared" si="41"/>
        <v>-5.7568009522291651E-2</v>
      </c>
      <c r="HK61" s="33">
        <f t="shared" si="42"/>
        <v>9.6637244132178515E-2</v>
      </c>
      <c r="HL61" s="61">
        <f t="shared" si="43"/>
        <v>4.8501125490719117E-2</v>
      </c>
      <c r="HM61" s="61">
        <f t="shared" si="44"/>
        <v>-6.5030051749758136E-2</v>
      </c>
      <c r="HN61" s="33">
        <f t="shared" si="45"/>
        <v>8.1125007269292157E-2</v>
      </c>
      <c r="HO61" s="30">
        <f t="shared" si="46"/>
        <v>-19.636868435100304</v>
      </c>
      <c r="HP61" s="30">
        <f t="shared" si="47"/>
        <v>2.1596733842654885</v>
      </c>
      <c r="HQ61" s="29">
        <v>1700</v>
      </c>
      <c r="HR61" s="30">
        <v>10681.415022205296</v>
      </c>
      <c r="HS61" s="30">
        <f t="shared" si="48"/>
        <v>-21.796541819365792</v>
      </c>
      <c r="HT61" s="30">
        <f t="shared" si="49"/>
        <v>-21.816905025523113</v>
      </c>
      <c r="HU61" s="30">
        <f t="shared" si="50"/>
        <v>-2.0363206157320235E-2</v>
      </c>
      <c r="HV61" s="30">
        <f t="shared" si="8"/>
        <v>-1.8787821322024207</v>
      </c>
      <c r="HW61" s="30">
        <f t="shared" si="9"/>
        <v>-1.883904453521378</v>
      </c>
      <c r="HX61" s="73">
        <f t="shared" si="10"/>
        <v>-3.0948696259883945E-2</v>
      </c>
      <c r="HY61" s="30">
        <f t="shared" si="51"/>
        <v>0.30125445822038799</v>
      </c>
      <c r="HZ61" s="74">
        <f t="shared" si="52"/>
        <v>5.1223213189572903E-3</v>
      </c>
    </row>
    <row r="62" spans="7:234" ht="15" customHeight="1">
      <c r="O62" s="30" t="s">
        <v>197</v>
      </c>
      <c r="FT62" s="29">
        <v>2000</v>
      </c>
      <c r="FU62" s="27">
        <f t="shared" si="12"/>
        <v>12566.370614359172</v>
      </c>
      <c r="FV62" s="30">
        <f t="shared" si="53"/>
        <v>489.87118005305751</v>
      </c>
      <c r="FW62" s="30">
        <f t="shared" si="13"/>
        <v>22.266362091623002</v>
      </c>
      <c r="FX62" s="34">
        <f t="shared" si="14"/>
        <v>490.37696104871236</v>
      </c>
      <c r="FY62" s="30">
        <f t="shared" si="15"/>
        <v>0.51895542801668948</v>
      </c>
      <c r="FZ62" s="30">
        <f t="shared" si="16"/>
        <v>-11.133181045811501</v>
      </c>
      <c r="GA62" s="34">
        <f t="shared" si="17"/>
        <v>11.145269621462033</v>
      </c>
      <c r="GB62" s="34">
        <f t="shared" si="18"/>
        <v>110.32852997612967</v>
      </c>
      <c r="GC62" s="34">
        <f t="shared" si="19"/>
        <v>229.79476574432445</v>
      </c>
      <c r="GD62" s="34">
        <f t="shared" si="20"/>
        <v>254.90786353147814</v>
      </c>
      <c r="GE62" s="55">
        <f t="shared" si="21"/>
        <v>244.83573501193516</v>
      </c>
      <c r="GF62" s="55">
        <f t="shared" si="22"/>
        <v>-114.89738287216223</v>
      </c>
      <c r="GG62" s="34">
        <f t="shared" si="23"/>
        <v>270.45507155479038</v>
      </c>
      <c r="GH62" s="30">
        <f t="shared" si="24"/>
        <v>121.73107941808824</v>
      </c>
      <c r="GI62" s="30">
        <f t="shared" si="0"/>
        <v>-27.800365367928052</v>
      </c>
      <c r="GJ62" s="34">
        <f t="shared" si="25"/>
        <v>124.8651913500444</v>
      </c>
      <c r="GK62" s="34">
        <f t="shared" si="26"/>
        <v>244.83573501193516</v>
      </c>
      <c r="GL62" s="34">
        <f t="shared" si="27"/>
        <v>-751.5171552397436</v>
      </c>
      <c r="GM62" s="34">
        <f t="shared" si="28"/>
        <v>790.39393454053743</v>
      </c>
      <c r="GN62" s="55">
        <f t="shared" si="1"/>
        <v>710.32852997612963</v>
      </c>
      <c r="GO62" s="55">
        <f t="shared" si="2"/>
        <v>229.79476574432445</v>
      </c>
      <c r="GP62" s="34">
        <f t="shared" si="29"/>
        <v>746.57367678048911</v>
      </c>
      <c r="GQ62" s="55">
        <f t="shared" si="30"/>
        <v>489.83261722649308</v>
      </c>
      <c r="GR62" s="55">
        <f t="shared" si="31"/>
        <v>-232.42647404837311</v>
      </c>
      <c r="GS62" s="34">
        <f t="shared" si="32"/>
        <v>542.17899142028284</v>
      </c>
      <c r="GT62" s="56">
        <f t="shared" si="33"/>
        <v>1090.0323272556802</v>
      </c>
      <c r="GU62" s="56">
        <f t="shared" si="33"/>
        <v>19.634653787574337</v>
      </c>
      <c r="GV62" s="34">
        <f t="shared" si="34"/>
        <v>1090.2091515355171</v>
      </c>
      <c r="GW62" s="30">
        <f t="shared" si="35"/>
        <v>110.10293051462041</v>
      </c>
      <c r="GX62" s="30">
        <f t="shared" si="3"/>
        <v>-22.293197201273124</v>
      </c>
      <c r="GY62" s="34">
        <f t="shared" si="36"/>
        <v>112.33717972853948</v>
      </c>
      <c r="GZ62" s="34">
        <f t="shared" si="56"/>
        <v>599.97411056767794</v>
      </c>
      <c r="HA62" s="34">
        <f t="shared" si="56"/>
        <v>-2.6835109650122035E-2</v>
      </c>
      <c r="HB62" s="34">
        <f t="shared" si="37"/>
        <v>599.97411116780643</v>
      </c>
      <c r="HC62" s="33">
        <f t="shared" si="5"/>
        <v>0.1835144641499982</v>
      </c>
      <c r="HD62" s="33">
        <f t="shared" si="6"/>
        <v>-3.7148723883130161E-2</v>
      </c>
      <c r="HE62" s="33">
        <f t="shared" si="38"/>
        <v>0.18723671178058543</v>
      </c>
      <c r="HF62" s="33">
        <f t="shared" si="39"/>
        <v>0.1005425464252484</v>
      </c>
      <c r="HG62" s="33">
        <f t="shared" si="7"/>
        <v>-2.2707854393940727E-2</v>
      </c>
      <c r="HH62" s="33">
        <f t="shared" si="40"/>
        <v>0.10307497413460574</v>
      </c>
      <c r="HI62" s="30">
        <f t="shared" si="54"/>
        <v>7.3516105768799508E-2</v>
      </c>
      <c r="HJ62" s="30">
        <f t="shared" si="41"/>
        <v>-5.7148525059778313E-2</v>
      </c>
      <c r="HK62" s="33">
        <f t="shared" si="42"/>
        <v>9.3115904784936851E-2</v>
      </c>
      <c r="HL62" s="61">
        <f t="shared" si="43"/>
        <v>4.207761158253473E-2</v>
      </c>
      <c r="HM62" s="61">
        <f t="shared" si="44"/>
        <v>-6.1884505658295084E-2</v>
      </c>
      <c r="HN62" s="33">
        <f t="shared" si="45"/>
        <v>7.4834600533858778E-2</v>
      </c>
      <c r="HO62" s="30">
        <f t="shared" si="46"/>
        <v>-19.736935310148745</v>
      </c>
      <c r="HP62" s="30">
        <f t="shared" si="47"/>
        <v>2.7631011386263111</v>
      </c>
      <c r="HQ62" s="29">
        <v>2000</v>
      </c>
      <c r="HR62" s="30">
        <v>12566.370614359172</v>
      </c>
      <c r="HS62" s="30">
        <f t="shared" si="48"/>
        <v>-22.500036448775056</v>
      </c>
      <c r="HT62" s="30">
        <f t="shared" si="49"/>
        <v>-22.517951105146871</v>
      </c>
      <c r="HU62" s="30">
        <f t="shared" si="50"/>
        <v>-1.7914656371814885E-2</v>
      </c>
      <c r="HV62" s="30">
        <f t="shared" si="8"/>
        <v>-2.5798282118261788</v>
      </c>
      <c r="HW62" s="30">
        <f t="shared" si="9"/>
        <v>-2.5873990829306415</v>
      </c>
      <c r="HX62" s="73">
        <f t="shared" si="10"/>
        <v>-2.5888832193572853E-2</v>
      </c>
      <c r="HY62" s="30">
        <f t="shared" si="51"/>
        <v>0.20118758317194718</v>
      </c>
      <c r="HZ62" s="74">
        <f t="shared" si="52"/>
        <v>7.5708711044626398E-3</v>
      </c>
    </row>
    <row r="63" spans="7:234" ht="15" customHeight="1">
      <c r="G63" s="30" t="s">
        <v>249</v>
      </c>
      <c r="O63" s="30" t="s">
        <v>246</v>
      </c>
      <c r="T63" s="30" t="s">
        <v>248</v>
      </c>
      <c r="AA63" s="30" t="s">
        <v>256</v>
      </c>
      <c r="FT63" s="29">
        <v>2500</v>
      </c>
      <c r="FU63" s="27">
        <f t="shared" si="12"/>
        <v>15707.963267948966</v>
      </c>
      <c r="FV63" s="30">
        <f t="shared" si="53"/>
        <v>490.24430908880072</v>
      </c>
      <c r="FW63" s="30">
        <f t="shared" si="13"/>
        <v>17.827003923872624</v>
      </c>
      <c r="FX63" s="34">
        <f t="shared" si="14"/>
        <v>490.56832823048956</v>
      </c>
      <c r="FY63" s="30">
        <f t="shared" si="15"/>
        <v>0.3323909101450952</v>
      </c>
      <c r="FZ63" s="30">
        <f t="shared" si="16"/>
        <v>-8.9135019619363121</v>
      </c>
      <c r="GA63" s="34">
        <f t="shared" si="17"/>
        <v>8.9196973571186575</v>
      </c>
      <c r="GB63" s="34">
        <f t="shared" si="18"/>
        <v>155.45848168053681</v>
      </c>
      <c r="GC63" s="34">
        <f t="shared" si="19"/>
        <v>260.77002725130092</v>
      </c>
      <c r="GD63" s="34">
        <f t="shared" si="20"/>
        <v>303.59240214317293</v>
      </c>
      <c r="GE63" s="55">
        <f t="shared" si="21"/>
        <v>222.27075915973163</v>
      </c>
      <c r="GF63" s="55">
        <f t="shared" si="22"/>
        <v>-130.38501362565046</v>
      </c>
      <c r="GG63" s="34">
        <f t="shared" si="23"/>
        <v>257.69078787493447</v>
      </c>
      <c r="GH63" s="30">
        <f t="shared" si="24"/>
        <v>121.54451390015453</v>
      </c>
      <c r="GI63" s="30">
        <f t="shared" si="0"/>
        <v>-22.247249419629689</v>
      </c>
      <c r="GJ63" s="34">
        <f t="shared" si="25"/>
        <v>123.56378500986473</v>
      </c>
      <c r="GK63" s="34">
        <f t="shared" si="26"/>
        <v>222.27075915973163</v>
      </c>
      <c r="GL63" s="34">
        <f t="shared" si="27"/>
        <v>-639.68083151971553</v>
      </c>
      <c r="GM63" s="34">
        <f t="shared" si="28"/>
        <v>677.19705890619321</v>
      </c>
      <c r="GN63" s="55">
        <f t="shared" si="1"/>
        <v>755.45848168053681</v>
      </c>
      <c r="GO63" s="55">
        <f t="shared" si="2"/>
        <v>260.77002725130092</v>
      </c>
      <c r="GP63" s="34">
        <f t="shared" si="29"/>
        <v>799.19867658530711</v>
      </c>
      <c r="GQ63" s="55">
        <f t="shared" si="30"/>
        <v>444.20755125859978</v>
      </c>
      <c r="GR63" s="55">
        <f t="shared" si="31"/>
        <v>-262.82912136946106</v>
      </c>
      <c r="GS63" s="34">
        <f t="shared" si="32"/>
        <v>516.13902742866139</v>
      </c>
      <c r="GT63" s="56">
        <f t="shared" si="33"/>
        <v>1089.9103420279373</v>
      </c>
      <c r="GU63" s="56">
        <f t="shared" si="33"/>
        <v>15.767909805712463</v>
      </c>
      <c r="GV63" s="34">
        <f t="shared" si="34"/>
        <v>1090.0243945155983</v>
      </c>
      <c r="GW63" s="30">
        <f t="shared" si="35"/>
        <v>109.73504044641514</v>
      </c>
      <c r="GX63" s="30">
        <f t="shared" si="3"/>
        <v>-17.846305696971555</v>
      </c>
      <c r="GY63" s="34">
        <f t="shared" si="36"/>
        <v>111.17674994712755</v>
      </c>
      <c r="GZ63" s="34">
        <f t="shared" si="56"/>
        <v>599.97934953521587</v>
      </c>
      <c r="HA63" s="34">
        <f t="shared" si="56"/>
        <v>-1.9301773098931108E-2</v>
      </c>
      <c r="HB63" s="34">
        <f t="shared" si="37"/>
        <v>599.9793498456919</v>
      </c>
      <c r="HC63" s="33">
        <f t="shared" si="5"/>
        <v>0.18289898568428664</v>
      </c>
      <c r="HD63" s="33">
        <f t="shared" si="6"/>
        <v>-2.9738982576770451E-2</v>
      </c>
      <c r="HE63" s="33">
        <f t="shared" si="38"/>
        <v>0.18530096073426697</v>
      </c>
      <c r="HF63" s="33">
        <f t="shared" si="39"/>
        <v>0.10031168514685361</v>
      </c>
      <c r="HG63" s="33">
        <f t="shared" si="7"/>
        <v>-1.8159080404840593E-2</v>
      </c>
      <c r="HH63" s="33">
        <f t="shared" si="40"/>
        <v>0.1019420736406267</v>
      </c>
      <c r="HI63" s="30">
        <f t="shared" si="54"/>
        <v>6.6544089395508446E-2</v>
      </c>
      <c r="HJ63" s="30">
        <f t="shared" si="41"/>
        <v>-5.7188852266354569E-2</v>
      </c>
      <c r="HK63" s="33">
        <f t="shared" si="42"/>
        <v>8.7742125897543349E-2</v>
      </c>
      <c r="HL63" s="61">
        <f t="shared" si="43"/>
        <v>3.3214779415990367E-2</v>
      </c>
      <c r="HM63" s="61">
        <f t="shared" si="44"/>
        <v>-5.6885628178623526E-2</v>
      </c>
      <c r="HN63" s="33">
        <f t="shared" si="45"/>
        <v>6.5872575970046171E-2</v>
      </c>
      <c r="HO63" s="30">
        <f t="shared" si="46"/>
        <v>-19.832930730323469</v>
      </c>
      <c r="HP63" s="30">
        <f t="shared" si="47"/>
        <v>3.7786476540003733</v>
      </c>
      <c r="HQ63" s="29">
        <v>2500</v>
      </c>
      <c r="HR63" s="30">
        <v>15707.963267948966</v>
      </c>
      <c r="HS63" s="30">
        <f t="shared" si="48"/>
        <v>-23.611578384323842</v>
      </c>
      <c r="HT63" s="30">
        <f t="shared" si="49"/>
        <v>-23.625907059786044</v>
      </c>
      <c r="HU63" s="30">
        <f t="shared" si="50"/>
        <v>-1.4328675462202511E-2</v>
      </c>
      <c r="HV63" s="30">
        <f t="shared" si="8"/>
        <v>-3.6877841664653523</v>
      </c>
      <c r="HW63" s="30">
        <f t="shared" si="9"/>
        <v>-3.6989410184794274</v>
      </c>
      <c r="HX63" s="73">
        <f t="shared" si="10"/>
        <v>-2.0650154308100355E-2</v>
      </c>
      <c r="HY63" s="30">
        <f t="shared" si="51"/>
        <v>0.10519216299722345</v>
      </c>
      <c r="HZ63" s="74">
        <f t="shared" si="52"/>
        <v>1.1156852014075014E-2</v>
      </c>
    </row>
    <row r="64" spans="7:234" ht="15" customHeight="1">
      <c r="G64" s="30" t="s">
        <v>250</v>
      </c>
      <c r="O64" s="30" t="s">
        <v>247</v>
      </c>
      <c r="T64" s="30" t="s">
        <v>251</v>
      </c>
      <c r="FT64" s="29">
        <v>3000</v>
      </c>
      <c r="FU64" s="27">
        <f t="shared" si="12"/>
        <v>18849.555921538758</v>
      </c>
      <c r="FV64" s="30">
        <f t="shared" si="53"/>
        <v>490.44724089740788</v>
      </c>
      <c r="FW64" s="30">
        <f t="shared" si="13"/>
        <v>14.862142831019618</v>
      </c>
      <c r="FX64" s="34">
        <f t="shared" si="14"/>
        <v>490.67237480156723</v>
      </c>
      <c r="FY64" s="30">
        <f t="shared" si="15"/>
        <v>0.23092500584154388</v>
      </c>
      <c r="FZ64" s="30">
        <f t="shared" si="16"/>
        <v>-7.431071415509809</v>
      </c>
      <c r="GA64" s="34">
        <f t="shared" si="17"/>
        <v>7.4346586162869563</v>
      </c>
      <c r="GB64" s="34">
        <f t="shared" si="18"/>
        <v>200.46403658504957</v>
      </c>
      <c r="GC64" s="34">
        <f t="shared" si="19"/>
        <v>281.24348284441385</v>
      </c>
      <c r="GD64" s="34">
        <f t="shared" si="20"/>
        <v>345.37476254994112</v>
      </c>
      <c r="GE64" s="55">
        <f t="shared" si="21"/>
        <v>199.7679817074752</v>
      </c>
      <c r="GF64" s="55">
        <f t="shared" si="22"/>
        <v>-140.62174142220692</v>
      </c>
      <c r="GG64" s="34">
        <f t="shared" si="23"/>
        <v>244.29842544742723</v>
      </c>
      <c r="GH64" s="30">
        <f t="shared" si="24"/>
        <v>121.44304745260735</v>
      </c>
      <c r="GI64" s="30">
        <f t="shared" si="0"/>
        <v>-18.542527630254344</v>
      </c>
      <c r="GJ64" s="34">
        <f t="shared" si="25"/>
        <v>122.85047458392249</v>
      </c>
      <c r="GK64" s="34">
        <f t="shared" si="26"/>
        <v>199.7679817074752</v>
      </c>
      <c r="GL64" s="34">
        <f t="shared" si="27"/>
        <v>-565.03492300059452</v>
      </c>
      <c r="GM64" s="34">
        <f t="shared" si="28"/>
        <v>599.30936145346993</v>
      </c>
      <c r="GN64" s="55">
        <f t="shared" si="1"/>
        <v>800.4640365850496</v>
      </c>
      <c r="GO64" s="55">
        <f t="shared" si="2"/>
        <v>281.24348284441385</v>
      </c>
      <c r="GP64" s="34">
        <f t="shared" si="29"/>
        <v>848.4341874939314</v>
      </c>
      <c r="GQ64" s="55">
        <f t="shared" si="30"/>
        <v>398.98655711504045</v>
      </c>
      <c r="GR64" s="55">
        <f t="shared" si="31"/>
        <v>-282.81210511200214</v>
      </c>
      <c r="GS64" s="34">
        <f t="shared" si="32"/>
        <v>489.05312549496665</v>
      </c>
      <c r="GT64" s="56">
        <f t="shared" si="33"/>
        <v>1089.8978345974979</v>
      </c>
      <c r="GU64" s="56">
        <f t="shared" si="33"/>
        <v>13.293520563431343</v>
      </c>
      <c r="GV64" s="34">
        <f t="shared" si="34"/>
        <v>1089.9789023413641</v>
      </c>
      <c r="GW64" s="30">
        <f t="shared" si="35"/>
        <v>109.53571942898472</v>
      </c>
      <c r="GX64" s="30">
        <f t="shared" si="3"/>
        <v>-14.876160431183916</v>
      </c>
      <c r="GY64" s="34">
        <f t="shared" si="36"/>
        <v>110.54127726781331</v>
      </c>
      <c r="GZ64" s="34">
        <f t="shared" si="56"/>
        <v>599.98296032639257</v>
      </c>
      <c r="HA64" s="34">
        <f t="shared" si="56"/>
        <v>-1.4017600164297761E-2</v>
      </c>
      <c r="HB64" s="34">
        <f t="shared" si="37"/>
        <v>599.98296049014152</v>
      </c>
      <c r="HC64" s="33">
        <f t="shared" si="5"/>
        <v>0.1825652962981798</v>
      </c>
      <c r="HD64" s="33">
        <f t="shared" si="6"/>
        <v>-2.4790039530064728E-2</v>
      </c>
      <c r="HE64" s="33">
        <f t="shared" si="38"/>
        <v>0.18424069439823645</v>
      </c>
      <c r="HF64" s="33">
        <f t="shared" si="39"/>
        <v>0.1001919579251246</v>
      </c>
      <c r="HG64" s="33">
        <f t="shared" si="7"/>
        <v>-1.5119475636229601E-2</v>
      </c>
      <c r="HH64" s="33">
        <f t="shared" si="40"/>
        <v>0.10132633900612653</v>
      </c>
      <c r="HI64" s="30">
        <f t="shared" si="54"/>
        <v>5.9702937768324763E-2</v>
      </c>
      <c r="HJ64" s="30">
        <f t="shared" si="41"/>
        <v>-5.7176212799124361E-2</v>
      </c>
      <c r="HK64" s="33">
        <f t="shared" si="42"/>
        <v>8.2665349985463751E-2</v>
      </c>
      <c r="HL64" s="61">
        <f t="shared" si="43"/>
        <v>2.6430533624528133E-2</v>
      </c>
      <c r="HM64" s="61">
        <f t="shared" si="44"/>
        <v>-5.2143683041078762E-2</v>
      </c>
      <c r="HN64" s="33">
        <f t="shared" si="45"/>
        <v>5.8459702263745729E-2</v>
      </c>
      <c r="HO64" s="30">
        <f t="shared" si="46"/>
        <v>-19.885552968773574</v>
      </c>
      <c r="HP64" s="30">
        <f t="shared" si="47"/>
        <v>4.7658317551805034</v>
      </c>
      <c r="HQ64" s="29">
        <v>3000</v>
      </c>
      <c r="HR64" s="30">
        <v>18849.555921538758</v>
      </c>
      <c r="HS64" s="30">
        <f t="shared" si="48"/>
        <v>-24.651384723954077</v>
      </c>
      <c r="HT64" s="30">
        <f t="shared" si="49"/>
        <v>-24.662868016842111</v>
      </c>
      <c r="HU64" s="30">
        <f t="shared" si="50"/>
        <v>-1.1483292888033958E-2</v>
      </c>
      <c r="HV64" s="30">
        <f t="shared" si="8"/>
        <v>-4.7247451235214193</v>
      </c>
      <c r="HW64" s="30">
        <f t="shared" si="9"/>
        <v>-4.7387473581096629</v>
      </c>
      <c r="HX64" s="73">
        <f t="shared" si="10"/>
        <v>-1.7039509858477686E-2</v>
      </c>
      <c r="HY64" s="30">
        <f t="shared" si="51"/>
        <v>5.2569924547118063E-2</v>
      </c>
      <c r="HZ64" s="74">
        <f t="shared" si="52"/>
        <v>1.4002234588243567E-2</v>
      </c>
    </row>
    <row r="65" spans="5:234" ht="15" customHeight="1">
      <c r="G65" s="30" t="s">
        <v>252</v>
      </c>
      <c r="I65" s="30" t="s">
        <v>253</v>
      </c>
      <c r="O65" s="104">
        <v>10</v>
      </c>
      <c r="P65" s="104"/>
      <c r="FT65" s="29">
        <v>4000</v>
      </c>
      <c r="FU65" s="27">
        <f t="shared" si="12"/>
        <v>25132.741228718343</v>
      </c>
      <c r="FV65" s="30">
        <f t="shared" si="53"/>
        <v>490.6491905779925</v>
      </c>
      <c r="FW65" s="30">
        <f t="shared" si="13"/>
        <v>11.151313903945566</v>
      </c>
      <c r="FX65" s="34">
        <f t="shared" si="14"/>
        <v>490.77589592055512</v>
      </c>
      <c r="FY65" s="30">
        <f t="shared" si="15"/>
        <v>0.12995016554921909</v>
      </c>
      <c r="FZ65" s="30">
        <f t="shared" si="16"/>
        <v>-5.5756569519727828</v>
      </c>
      <c r="GA65" s="34">
        <f t="shared" si="17"/>
        <v>5.577171101159502</v>
      </c>
      <c r="GB65" s="34">
        <f t="shared" si="18"/>
        <v>282.3287956505356</v>
      </c>
      <c r="GC65" s="34">
        <f t="shared" si="19"/>
        <v>298.15574096503536</v>
      </c>
      <c r="GD65" s="34">
        <f t="shared" si="20"/>
        <v>410.61709015077679</v>
      </c>
      <c r="GE65" s="55">
        <f t="shared" si="21"/>
        <v>158.83560217473217</v>
      </c>
      <c r="GF65" s="55">
        <f t="shared" si="22"/>
        <v>-149.07787048251768</v>
      </c>
      <c r="GG65" s="34">
        <f t="shared" si="23"/>
        <v>217.83700325200056</v>
      </c>
      <c r="GH65" s="30">
        <f t="shared" si="24"/>
        <v>121.34207207215802</v>
      </c>
      <c r="GI65" s="30">
        <f t="shared" si="0"/>
        <v>-13.909249113031233</v>
      </c>
      <c r="GJ65" s="34">
        <f t="shared" si="25"/>
        <v>122.13666798162275</v>
      </c>
      <c r="GK65" s="34">
        <f t="shared" si="26"/>
        <v>158.83560217473217</v>
      </c>
      <c r="GL65" s="34">
        <f t="shared" si="27"/>
        <v>-467.38775666630841</v>
      </c>
      <c r="GM65" s="34">
        <f t="shared" si="28"/>
        <v>493.63960902643754</v>
      </c>
      <c r="GN65" s="55">
        <f t="shared" si="1"/>
        <v>882.32879565053554</v>
      </c>
      <c r="GO65" s="55">
        <f t="shared" si="2"/>
        <v>298.15574096503536</v>
      </c>
      <c r="GP65" s="34">
        <f t="shared" si="29"/>
        <v>931.34362589998636</v>
      </c>
      <c r="GQ65" s="55">
        <f t="shared" si="30"/>
        <v>317.05930675332922</v>
      </c>
      <c r="GR65" s="55">
        <f t="shared" si="31"/>
        <v>-299.06453280080052</v>
      </c>
      <c r="GS65" s="34">
        <f t="shared" si="32"/>
        <v>435.85111996903578</v>
      </c>
      <c r="GT65" s="56">
        <f t="shared" si="33"/>
        <v>1090.0372929818573</v>
      </c>
      <c r="GU65" s="56">
        <f t="shared" si="33"/>
        <v>10.242522068180392</v>
      </c>
      <c r="GV65" s="34">
        <f t="shared" si="34"/>
        <v>1090.0854137862466</v>
      </c>
      <c r="GW65" s="30">
        <f t="shared" si="35"/>
        <v>109.33880050082283</v>
      </c>
      <c r="GX65" s="30">
        <f t="shared" si="3"/>
        <v>-11.159044187722625</v>
      </c>
      <c r="GY65" s="34">
        <f t="shared" si="36"/>
        <v>109.90676759027298</v>
      </c>
      <c r="GZ65" s="34">
        <f t="shared" si="56"/>
        <v>599.9879910788153</v>
      </c>
      <c r="HA65" s="34">
        <f t="shared" si="56"/>
        <v>-7.7302837770591992E-3</v>
      </c>
      <c r="HB65" s="34">
        <f t="shared" si="37"/>
        <v>599.987991128614</v>
      </c>
      <c r="HC65" s="33">
        <f t="shared" si="5"/>
        <v>0.18223522117487032</v>
      </c>
      <c r="HD65" s="33">
        <f t="shared" si="6"/>
        <v>-1.8596431301377638E-2</v>
      </c>
      <c r="HE65" s="33">
        <f t="shared" si="38"/>
        <v>0.18318161232449276</v>
      </c>
      <c r="HF65" s="33">
        <f t="shared" si="39"/>
        <v>0.10008537991276466</v>
      </c>
      <c r="HG65" s="33">
        <f t="shared" si="7"/>
        <v>-1.1318163463122184E-2</v>
      </c>
      <c r="HH65" s="33">
        <f t="shared" si="40"/>
        <v>0.10072330463433173</v>
      </c>
      <c r="HI65" s="30">
        <f t="shared" si="54"/>
        <v>4.7379816663702168E-2</v>
      </c>
      <c r="HJ65" s="30">
        <f t="shared" si="41"/>
        <v>-5.5852723669878576E-2</v>
      </c>
      <c r="HK65" s="33">
        <f t="shared" si="42"/>
        <v>7.3241885341857799E-2</v>
      </c>
      <c r="HL65" s="61">
        <f t="shared" si="43"/>
        <v>1.7398020865911929E-2</v>
      </c>
      <c r="HM65" s="61">
        <f t="shared" si="44"/>
        <v>-4.3860014764672571E-2</v>
      </c>
      <c r="HN65" s="33">
        <f t="shared" si="45"/>
        <v>4.7184658790840092E-2</v>
      </c>
      <c r="HO65" s="30">
        <f t="shared" si="46"/>
        <v>-19.937400677679967</v>
      </c>
      <c r="HP65" s="30">
        <f t="shared" si="47"/>
        <v>6.5789713499435827</v>
      </c>
      <c r="HQ65" s="29">
        <v>4000</v>
      </c>
      <c r="HR65" s="30">
        <v>25132.741228718343</v>
      </c>
      <c r="HS65" s="30">
        <f t="shared" si="48"/>
        <v>-26.51637202762355</v>
      </c>
      <c r="HT65" s="30">
        <f t="shared" si="49"/>
        <v>-26.523983622859255</v>
      </c>
      <c r="HU65" s="30">
        <f t="shared" si="50"/>
        <v>-7.6115952357049821E-3</v>
      </c>
      <c r="HV65" s="30">
        <f t="shared" si="8"/>
        <v>-6.5858607295385632</v>
      </c>
      <c r="HW65" s="30">
        <f t="shared" si="9"/>
        <v>-6.6037346617791357</v>
      </c>
      <c r="HX65" s="73">
        <f t="shared" si="10"/>
        <v>-1.2008871386001374E-2</v>
      </c>
      <c r="HY65" s="30">
        <f t="shared" si="51"/>
        <v>7.2221564072449951E-4</v>
      </c>
      <c r="HZ65" s="74">
        <f t="shared" si="52"/>
        <v>1.7873932240572543E-2</v>
      </c>
    </row>
    <row r="66" spans="5:234" ht="15" customHeight="1">
      <c r="FT66" s="29">
        <v>5000</v>
      </c>
      <c r="FU66" s="27">
        <f t="shared" si="12"/>
        <v>31415.926535897932</v>
      </c>
      <c r="FV66" s="30">
        <f t="shared" si="53"/>
        <v>490.74272218097684</v>
      </c>
      <c r="FW66" s="30">
        <f t="shared" si="13"/>
        <v>8.9227950535878371</v>
      </c>
      <c r="FX66" s="34">
        <f t="shared" si="14"/>
        <v>490.82383361565047</v>
      </c>
      <c r="FY66" s="30">
        <f t="shared" si="15"/>
        <v>8.3184364057062796E-2</v>
      </c>
      <c r="FZ66" s="30">
        <f t="shared" si="16"/>
        <v>-4.4613975267939185</v>
      </c>
      <c r="GA66" s="34">
        <f t="shared" si="17"/>
        <v>4.4621729606220413</v>
      </c>
      <c r="GB66" s="34">
        <f t="shared" si="18"/>
        <v>348.56691627859885</v>
      </c>
      <c r="GC66" s="34">
        <f t="shared" si="19"/>
        <v>294.98352523639966</v>
      </c>
      <c r="GD66" s="34">
        <f t="shared" si="20"/>
        <v>456.63352404840509</v>
      </c>
      <c r="GE66" s="55">
        <f t="shared" si="21"/>
        <v>125.71654186070059</v>
      </c>
      <c r="GF66" s="55">
        <f t="shared" si="22"/>
        <v>-147.49176261819983</v>
      </c>
      <c r="GG66" s="34">
        <f t="shared" si="23"/>
        <v>193.80007465849101</v>
      </c>
      <c r="GH66" s="30">
        <f t="shared" si="24"/>
        <v>121.29530602065033</v>
      </c>
      <c r="GI66" s="30">
        <f t="shared" si="0"/>
        <v>-11.128271255640694</v>
      </c>
      <c r="GJ66" s="34">
        <f t="shared" si="25"/>
        <v>121.8047194643226</v>
      </c>
      <c r="GK66" s="34">
        <f t="shared" si="26"/>
        <v>125.71654186070059</v>
      </c>
      <c r="GL66" s="34">
        <f t="shared" si="27"/>
        <v>-402.13967156523233</v>
      </c>
      <c r="GM66" s="34">
        <f t="shared" si="28"/>
        <v>421.33236802316316</v>
      </c>
      <c r="GN66" s="55">
        <f t="shared" si="1"/>
        <v>948.56691627859891</v>
      </c>
      <c r="GO66" s="55">
        <f t="shared" si="2"/>
        <v>294.98352523639966</v>
      </c>
      <c r="GP66" s="34">
        <f t="shared" si="29"/>
        <v>993.37529404509758</v>
      </c>
      <c r="GQ66" s="55">
        <f t="shared" si="30"/>
        <v>250.90518626628807</v>
      </c>
      <c r="GR66" s="55">
        <f t="shared" si="31"/>
        <v>-295.53284490390172</v>
      </c>
      <c r="GS66" s="34">
        <f t="shared" si="32"/>
        <v>387.67650807382478</v>
      </c>
      <c r="GT66" s="56">
        <f t="shared" si="33"/>
        <v>1090.2148247258638</v>
      </c>
      <c r="GU66" s="56">
        <f t="shared" si="33"/>
        <v>8.3734753860857722</v>
      </c>
      <c r="GV66" s="34">
        <f t="shared" si="34"/>
        <v>1090.246980799345</v>
      </c>
      <c r="GW66" s="30">
        <f t="shared" si="35"/>
        <v>109.24854261710583</v>
      </c>
      <c r="GX66" s="30">
        <f t="shared" si="3"/>
        <v>-8.9273587802667684</v>
      </c>
      <c r="GY66" s="34">
        <f t="shared" si="36"/>
        <v>109.61268995309436</v>
      </c>
      <c r="GZ66" s="34">
        <f t="shared" si="56"/>
        <v>599.99126479808263</v>
      </c>
      <c r="HA66" s="34">
        <f t="shared" si="56"/>
        <v>-4.5637266789313458E-3</v>
      </c>
      <c r="HB66" s="34">
        <f t="shared" si="37"/>
        <v>599.99126481543919</v>
      </c>
      <c r="HC66" s="33">
        <f t="shared" si="5"/>
        <v>0.18208366842126494</v>
      </c>
      <c r="HD66" s="33">
        <f t="shared" si="6"/>
        <v>-1.4877762934057841E-2</v>
      </c>
      <c r="HE66" s="33">
        <f t="shared" si="38"/>
        <v>0.18269047631353741</v>
      </c>
      <c r="HF66" s="33">
        <f t="shared" si="39"/>
        <v>0.10004468888545809</v>
      </c>
      <c r="HG66" s="33">
        <f t="shared" si="7"/>
        <v>-9.040922471227817E-3</v>
      </c>
      <c r="HH66" s="33">
        <f t="shared" si="40"/>
        <v>0.10045236708668867</v>
      </c>
      <c r="HI66" s="30">
        <f t="shared" si="54"/>
        <v>3.7464619910522072E-2</v>
      </c>
      <c r="HJ66" s="30">
        <f t="shared" si="41"/>
        <v>-5.3070569377451825E-2</v>
      </c>
      <c r="HK66" s="33">
        <f t="shared" si="42"/>
        <v>6.4962166520882103E-2</v>
      </c>
      <c r="HL66" s="61">
        <f t="shared" si="43"/>
        <v>1.2089298741029104E-2</v>
      </c>
      <c r="HM66" s="61">
        <f t="shared" si="44"/>
        <v>-3.7328400325882936E-2</v>
      </c>
      <c r="HN66" s="33">
        <f t="shared" si="45"/>
        <v>3.9237235057267034E-2</v>
      </c>
      <c r="HO66" s="30">
        <f t="shared" si="46"/>
        <v>-19.960796499255448</v>
      </c>
      <c r="HP66" s="30">
        <f t="shared" si="47"/>
        <v>8.1599299189938179</v>
      </c>
      <c r="HQ66" s="29">
        <v>5000</v>
      </c>
      <c r="HR66" s="30">
        <v>31415.926535897932</v>
      </c>
      <c r="HS66" s="30">
        <f t="shared" si="48"/>
        <v>-28.120726418249266</v>
      </c>
      <c r="HT66" s="30">
        <f t="shared" si="49"/>
        <v>-28.126032075627343</v>
      </c>
      <c r="HU66" s="30">
        <f t="shared" si="50"/>
        <v>-5.3056573780771998E-3</v>
      </c>
      <c r="HV66" s="30">
        <f t="shared" si="8"/>
        <v>-8.187909182306651</v>
      </c>
      <c r="HW66" s="30">
        <f t="shared" si="9"/>
        <v>-8.2080890524048513</v>
      </c>
      <c r="HX66" s="73">
        <f t="shared" si="10"/>
        <v>-8.7351845608054646E-3</v>
      </c>
      <c r="HY66" s="30">
        <f t="shared" si="51"/>
        <v>-2.2673605934755869E-2</v>
      </c>
      <c r="HZ66" s="74">
        <f t="shared" si="52"/>
        <v>2.0179870098200325E-2</v>
      </c>
    </row>
    <row r="67" spans="5:234" ht="15" customHeight="1">
      <c r="G67" s="30" t="s">
        <v>254</v>
      </c>
      <c r="I67" s="167">
        <f>AJ34*(O65-1)/(O65+1)</f>
        <v>490.90909090909093</v>
      </c>
      <c r="J67" s="167"/>
      <c r="K67" s="167"/>
      <c r="L67" s="167"/>
      <c r="FT67" s="29">
        <v>6000</v>
      </c>
      <c r="FU67" s="27">
        <f t="shared" si="12"/>
        <v>37699.111843077517</v>
      </c>
      <c r="FV67" s="30">
        <f t="shared" si="53"/>
        <v>490.79354480036159</v>
      </c>
      <c r="FW67" s="30">
        <f t="shared" si="13"/>
        <v>7.4364522163621354</v>
      </c>
      <c r="FX67" s="34">
        <f t="shared" si="14"/>
        <v>490.84987973847029</v>
      </c>
      <c r="FY67" s="30">
        <f t="shared" si="15"/>
        <v>5.7773054364663755E-2</v>
      </c>
      <c r="FZ67" s="30">
        <f t="shared" si="16"/>
        <v>-3.7182261081810677</v>
      </c>
      <c r="GA67" s="34">
        <f t="shared" si="17"/>
        <v>3.7186749141824635</v>
      </c>
      <c r="GB67" s="34">
        <f t="shared" si="18"/>
        <v>399.63056103433058</v>
      </c>
      <c r="GC67" s="34">
        <f t="shared" si="19"/>
        <v>282.09024483615423</v>
      </c>
      <c r="GD67" s="34">
        <f t="shared" si="20"/>
        <v>489.16202994952016</v>
      </c>
      <c r="GE67" s="55">
        <f t="shared" si="21"/>
        <v>100.18471948283467</v>
      </c>
      <c r="GF67" s="55">
        <f t="shared" si="22"/>
        <v>-141.04512241807711</v>
      </c>
      <c r="GG67" s="34">
        <f t="shared" si="23"/>
        <v>173.00492644946453</v>
      </c>
      <c r="GH67" s="30">
        <f t="shared" si="24"/>
        <v>121.26989457514702</v>
      </c>
      <c r="GI67" s="30">
        <f t="shared" si="0"/>
        <v>-9.2739542155533865</v>
      </c>
      <c r="GJ67" s="34">
        <f t="shared" si="25"/>
        <v>121.62398430021709</v>
      </c>
      <c r="GK67" s="34">
        <f t="shared" si="26"/>
        <v>100.18471948283467</v>
      </c>
      <c r="GL67" s="34">
        <f t="shared" si="27"/>
        <v>-353.25171320727088</v>
      </c>
      <c r="GM67" s="34">
        <f t="shared" si="28"/>
        <v>367.18353844055463</v>
      </c>
      <c r="GN67" s="55">
        <f t="shared" si="1"/>
        <v>999.63056103433064</v>
      </c>
      <c r="GO67" s="55">
        <f t="shared" si="2"/>
        <v>282.09024483615423</v>
      </c>
      <c r="GP67" s="34">
        <f t="shared" si="29"/>
        <v>1038.6703831271652</v>
      </c>
      <c r="GQ67" s="55">
        <f t="shared" si="30"/>
        <v>199.938516931869</v>
      </c>
      <c r="GR67" s="55">
        <f t="shared" si="31"/>
        <v>-282.44029999027202</v>
      </c>
      <c r="GS67" s="34">
        <f t="shared" si="32"/>
        <v>346.04614376049636</v>
      </c>
      <c r="GT67" s="56">
        <f t="shared" si="33"/>
        <v>1090.3626227665613</v>
      </c>
      <c r="GU67" s="56">
        <f t="shared" si="33"/>
        <v>7.0863970622443162</v>
      </c>
      <c r="GV67" s="34">
        <f t="shared" si="34"/>
        <v>1090.3856501943239</v>
      </c>
      <c r="GW67" s="30">
        <f t="shared" si="35"/>
        <v>109.19990284475116</v>
      </c>
      <c r="GX67" s="30">
        <f t="shared" si="3"/>
        <v>-7.4393227811341651</v>
      </c>
      <c r="GY67" s="34">
        <f t="shared" si="36"/>
        <v>109.45301414189102</v>
      </c>
      <c r="GZ67" s="34">
        <f t="shared" si="56"/>
        <v>599.99344764511272</v>
      </c>
      <c r="HA67" s="34">
        <f t="shared" si="56"/>
        <v>-2.8705647720297378E-3</v>
      </c>
      <c r="HB67" s="34">
        <f t="shared" si="37"/>
        <v>599.99344765197964</v>
      </c>
      <c r="HC67" s="33">
        <f t="shared" si="5"/>
        <v>0.18200188495890643</v>
      </c>
      <c r="HD67" s="33">
        <f t="shared" si="6"/>
        <v>-1.239813594986907E-2</v>
      </c>
      <c r="HE67" s="33">
        <f t="shared" si="38"/>
        <v>0.18242368240890885</v>
      </c>
      <c r="HF67" s="33">
        <f t="shared" si="39"/>
        <v>0.10002638367559848</v>
      </c>
      <c r="HG67" s="33">
        <f t="shared" si="7"/>
        <v>-7.5260066127873513E-3</v>
      </c>
      <c r="HH67" s="33">
        <f t="shared" si="40"/>
        <v>0.10030911327867351</v>
      </c>
      <c r="HI67" s="30">
        <f t="shared" si="54"/>
        <v>2.9839507752398121E-2</v>
      </c>
      <c r="HJ67" s="30">
        <f t="shared" si="41"/>
        <v>-4.9611923016900587E-2</v>
      </c>
      <c r="HK67" s="33">
        <f t="shared" si="42"/>
        <v>5.7894206345197423E-2</v>
      </c>
      <c r="HL67" s="61">
        <f t="shared" si="43"/>
        <v>8.8058473835287247E-3</v>
      </c>
      <c r="HM67" s="61">
        <f t="shared" si="44"/>
        <v>-3.2263116707015288E-2</v>
      </c>
      <c r="HN67" s="33">
        <f t="shared" si="45"/>
        <v>3.3443260125060902E-2</v>
      </c>
      <c r="HO67" s="30">
        <f t="shared" si="46"/>
        <v>-19.973192173720161</v>
      </c>
      <c r="HP67" s="30">
        <f t="shared" si="47"/>
        <v>9.5367645754239625</v>
      </c>
      <c r="HQ67" s="29">
        <v>6000</v>
      </c>
      <c r="HR67" s="30">
        <v>37699.111843077517</v>
      </c>
      <c r="HS67" s="30">
        <f t="shared" si="48"/>
        <v>-29.509956749144123</v>
      </c>
      <c r="HT67" s="30">
        <f t="shared" si="49"/>
        <v>-29.513827863110382</v>
      </c>
      <c r="HU67" s="30">
        <f t="shared" si="50"/>
        <v>-3.8711139662588323E-3</v>
      </c>
      <c r="HV67" s="30">
        <f t="shared" si="8"/>
        <v>-9.5757049697896903</v>
      </c>
      <c r="HW67" s="30">
        <f t="shared" si="9"/>
        <v>-9.597319383299709</v>
      </c>
      <c r="HX67" s="73">
        <f t="shared" si="10"/>
        <v>-6.5523480203637519E-3</v>
      </c>
      <c r="HY67" s="30">
        <f t="shared" si="51"/>
        <v>-3.5069280399468994E-2</v>
      </c>
      <c r="HZ67" s="74">
        <f t="shared" si="52"/>
        <v>2.1614413510018693E-2</v>
      </c>
    </row>
    <row r="68" spans="5:234" ht="15" customHeight="1">
      <c r="G68" s="30" t="s">
        <v>255</v>
      </c>
      <c r="I68" s="167">
        <f>AJ34*2*O65/(O65^2-1)</f>
        <v>121.21212121212122</v>
      </c>
      <c r="J68" s="167"/>
      <c r="K68" s="167"/>
      <c r="L68" s="167"/>
      <c r="FT68" s="29">
        <v>7000</v>
      </c>
      <c r="FU68" s="27">
        <f t="shared" si="12"/>
        <v>43982.297150257102</v>
      </c>
      <c r="FV68" s="30">
        <f t="shared" si="53"/>
        <v>490.82419445403701</v>
      </c>
      <c r="FW68" s="30">
        <f t="shared" si="13"/>
        <v>6.3745100953346778</v>
      </c>
      <c r="FX68" s="34">
        <f t="shared" si="14"/>
        <v>490.86558673470876</v>
      </c>
      <c r="FY68" s="30">
        <f t="shared" si="15"/>
        <v>4.2448227526972825E-2</v>
      </c>
      <c r="FZ68" s="30">
        <f t="shared" si="16"/>
        <v>-3.1872550476673389</v>
      </c>
      <c r="GA68" s="34">
        <f t="shared" si="17"/>
        <v>3.1875377003105565</v>
      </c>
      <c r="GB68" s="34">
        <f t="shared" si="18"/>
        <v>438.41381779124748</v>
      </c>
      <c r="GC68" s="34">
        <f t="shared" si="19"/>
        <v>265.4040802138112</v>
      </c>
      <c r="GD68" s="34">
        <f t="shared" si="20"/>
        <v>512.49000129215813</v>
      </c>
      <c r="GE68" s="55">
        <f t="shared" si="21"/>
        <v>80.793091104376302</v>
      </c>
      <c r="GF68" s="55">
        <f t="shared" si="22"/>
        <v>-132.7020401069056</v>
      </c>
      <c r="GG68" s="34">
        <f t="shared" si="23"/>
        <v>155.36201279184959</v>
      </c>
      <c r="GH68" s="30">
        <f t="shared" si="24"/>
        <v>121.25456966641966</v>
      </c>
      <c r="GI68" s="30">
        <f t="shared" si="0"/>
        <v>-7.9493077111293324</v>
      </c>
      <c r="GJ68" s="34">
        <f t="shared" si="25"/>
        <v>121.51486393884016</v>
      </c>
      <c r="GK68" s="34">
        <f t="shared" si="26"/>
        <v>80.793091104376302</v>
      </c>
      <c r="GL68" s="34">
        <f t="shared" si="27"/>
        <v>-314.59340364050024</v>
      </c>
      <c r="GM68" s="34">
        <f t="shared" si="28"/>
        <v>324.80229861304053</v>
      </c>
      <c r="GN68" s="55">
        <f t="shared" si="1"/>
        <v>1038.4138177912475</v>
      </c>
      <c r="GO68" s="55">
        <f t="shared" si="2"/>
        <v>265.4040802138112</v>
      </c>
      <c r="GP68" s="34">
        <f t="shared" si="29"/>
        <v>1071.7940953251857</v>
      </c>
      <c r="GQ68" s="55">
        <f t="shared" si="30"/>
        <v>161.23703328149546</v>
      </c>
      <c r="GR68" s="55">
        <f t="shared" si="31"/>
        <v>-265.63826433935111</v>
      </c>
      <c r="GS68" s="34">
        <f t="shared" si="32"/>
        <v>310.74276883403263</v>
      </c>
      <c r="GT68" s="56">
        <f t="shared" si="33"/>
        <v>1090.4750455267799</v>
      </c>
      <c r="GU68" s="56">
        <f t="shared" si="33"/>
        <v>6.1403259697947874</v>
      </c>
      <c r="GV68" s="34">
        <f t="shared" si="34"/>
        <v>1090.4923330861377</v>
      </c>
      <c r="GW68" s="30">
        <f t="shared" si="35"/>
        <v>109.17074805966277</v>
      </c>
      <c r="GX68" s="30">
        <f t="shared" si="3"/>
        <v>-6.3764152648538275</v>
      </c>
      <c r="GY68" s="34">
        <f t="shared" si="36"/>
        <v>109.35680547426495</v>
      </c>
      <c r="GZ68" s="34">
        <f t="shared" si="56"/>
        <v>599.99494251369981</v>
      </c>
      <c r="HA68" s="34">
        <f t="shared" si="56"/>
        <v>-1.905169519149652E-3</v>
      </c>
      <c r="HB68" s="34">
        <f t="shared" si="37"/>
        <v>599.99494251672456</v>
      </c>
      <c r="HC68" s="33">
        <f t="shared" si="5"/>
        <v>0.18195281421586318</v>
      </c>
      <c r="HD68" s="33">
        <f t="shared" si="6"/>
        <v>-1.0626870598584543E-2</v>
      </c>
      <c r="HE68" s="33">
        <f t="shared" si="38"/>
        <v>0.18226287877621017</v>
      </c>
      <c r="HF68" s="33">
        <f t="shared" si="39"/>
        <v>0.10001704431507764</v>
      </c>
      <c r="HG68" s="33">
        <f t="shared" si="7"/>
        <v>-6.4459610908401636E-3</v>
      </c>
      <c r="HH68" s="33">
        <f t="shared" si="40"/>
        <v>0.10022454573560725</v>
      </c>
      <c r="HI68" s="30">
        <f t="shared" si="54"/>
        <v>2.4055560169681901E-2</v>
      </c>
      <c r="HJ68" s="30">
        <f t="shared" si="41"/>
        <v>-4.6030199439295261E-2</v>
      </c>
      <c r="HK68" s="33">
        <f t="shared" si="42"/>
        <v>5.1936973684442604E-2</v>
      </c>
      <c r="HL68" s="61">
        <f t="shared" si="43"/>
        <v>6.6662576222302553E-3</v>
      </c>
      <c r="HM68" s="61">
        <f t="shared" si="44"/>
        <v>-2.8300250952728777E-2</v>
      </c>
      <c r="HN68" s="33">
        <f t="shared" si="45"/>
        <v>2.9074786236073499E-2</v>
      </c>
      <c r="HO68" s="30">
        <f t="shared" si="46"/>
        <v>-19.980518069963122</v>
      </c>
      <c r="HP68" s="30">
        <f t="shared" si="47"/>
        <v>10.746217866708701</v>
      </c>
      <c r="HQ68" s="29">
        <v>7000</v>
      </c>
      <c r="HR68" s="30">
        <v>43982.297150257102</v>
      </c>
      <c r="HS68" s="30">
        <f t="shared" si="48"/>
        <v>-30.726735936671822</v>
      </c>
      <c r="HT68" s="30">
        <f t="shared" si="49"/>
        <v>-30.729669392237902</v>
      </c>
      <c r="HU68" s="30">
        <f t="shared" si="50"/>
        <v>-2.9334555660796013E-3</v>
      </c>
      <c r="HV68" s="30">
        <f t="shared" si="8"/>
        <v>-10.79154649891721</v>
      </c>
      <c r="HW68" s="30">
        <f t="shared" si="9"/>
        <v>-10.814098570827408</v>
      </c>
      <c r="HX68" s="73">
        <f t="shared" si="10"/>
        <v>-5.0574832754364252E-3</v>
      </c>
      <c r="HY68" s="30">
        <f t="shared" si="51"/>
        <v>-4.2395176642429533E-2</v>
      </c>
      <c r="HZ68" s="74">
        <f t="shared" si="52"/>
        <v>2.2552071910197924E-2</v>
      </c>
    </row>
    <row r="69" spans="5:234" ht="15" customHeight="1">
      <c r="G69" s="30" t="s">
        <v>47</v>
      </c>
      <c r="I69" s="30" t="s">
        <v>257</v>
      </c>
      <c r="FT69" s="29">
        <v>8000</v>
      </c>
      <c r="FU69" s="27">
        <f t="shared" si="12"/>
        <v>50265.482457436687</v>
      </c>
      <c r="FV69" s="30">
        <f t="shared" si="53"/>
        <v>490.84408935895084</v>
      </c>
      <c r="FW69" s="30">
        <f t="shared" si="13"/>
        <v>5.5779281757109933</v>
      </c>
      <c r="FX69" s="34">
        <f t="shared" si="14"/>
        <v>490.87578198700243</v>
      </c>
      <c r="FY69" s="30">
        <f t="shared" si="15"/>
        <v>3.2500775070049344E-2</v>
      </c>
      <c r="FZ69" s="30">
        <f t="shared" si="16"/>
        <v>-2.7889640878554967</v>
      </c>
      <c r="GA69" s="34">
        <f t="shared" si="17"/>
        <v>2.7891534528827551</v>
      </c>
      <c r="GB69" s="34">
        <f t="shared" si="18"/>
        <v>467.91359966714759</v>
      </c>
      <c r="GC69" s="34">
        <f t="shared" si="19"/>
        <v>247.94389937416003</v>
      </c>
      <c r="GD69" s="34">
        <f t="shared" si="20"/>
        <v>529.54632846459356</v>
      </c>
      <c r="GE69" s="55">
        <f t="shared" si="21"/>
        <v>66.043200166426203</v>
      </c>
      <c r="GF69" s="55">
        <f t="shared" si="22"/>
        <v>-123.97194968708001</v>
      </c>
      <c r="GG69" s="34">
        <f t="shared" si="23"/>
        <v>140.46618310980952</v>
      </c>
      <c r="GH69" s="30">
        <f t="shared" si="24"/>
        <v>121.24462216081317</v>
      </c>
      <c r="GI69" s="30">
        <f t="shared" si="0"/>
        <v>-6.9557601683847423</v>
      </c>
      <c r="GJ69" s="34">
        <f t="shared" si="25"/>
        <v>121.44398298161352</v>
      </c>
      <c r="GK69" s="34">
        <f t="shared" si="26"/>
        <v>66.043200166426203</v>
      </c>
      <c r="GL69" s="34">
        <f t="shared" si="27"/>
        <v>-283.12689277897539</v>
      </c>
      <c r="GM69" s="34">
        <f t="shared" si="28"/>
        <v>290.72760739719934</v>
      </c>
      <c r="GN69" s="55">
        <f t="shared" si="1"/>
        <v>1067.9135996671475</v>
      </c>
      <c r="GO69" s="55">
        <f t="shared" si="2"/>
        <v>247.94389937416003</v>
      </c>
      <c r="GP69" s="34">
        <f t="shared" si="29"/>
        <v>1096.3191294467629</v>
      </c>
      <c r="GQ69" s="55">
        <f t="shared" si="30"/>
        <v>131.8014694135704</v>
      </c>
      <c r="GR69" s="55">
        <f t="shared" si="31"/>
        <v>-248.10722989264426</v>
      </c>
      <c r="GS69" s="34">
        <f t="shared" si="32"/>
        <v>280.94274303597479</v>
      </c>
      <c r="GT69" s="56">
        <f t="shared" si="33"/>
        <v>1090.5591584396689</v>
      </c>
      <c r="GU69" s="56">
        <f t="shared" si="33"/>
        <v>5.41459765722675</v>
      </c>
      <c r="GV69" s="34">
        <f t="shared" si="34"/>
        <v>1090.5726000246057</v>
      </c>
      <c r="GW69" s="30">
        <f t="shared" si="35"/>
        <v>109.15190759446907</v>
      </c>
      <c r="GX69" s="30">
        <f t="shared" si="3"/>
        <v>-5.5792500309599102</v>
      </c>
      <c r="GY69" s="34">
        <f t="shared" si="36"/>
        <v>109.29440499137858</v>
      </c>
      <c r="GZ69" s="34">
        <f t="shared" si="56"/>
        <v>599.99599695341988</v>
      </c>
      <c r="HA69" s="34">
        <f t="shared" si="56"/>
        <v>-1.3218552489169255E-3</v>
      </c>
      <c r="HB69" s="34">
        <f t="shared" si="37"/>
        <v>599.99599695487598</v>
      </c>
      <c r="HC69" s="33">
        <f t="shared" si="5"/>
        <v>0.18192108020696804</v>
      </c>
      <c r="HD69" s="33">
        <f t="shared" si="6"/>
        <v>-9.2984112993311704E-3</v>
      </c>
      <c r="HE69" s="33">
        <f>SQRT(HC69^2+HD69^2)</f>
        <v>0.18215855696716973</v>
      </c>
      <c r="HF69" s="33">
        <f t="shared" si="39"/>
        <v>0.1000117882484489</v>
      </c>
      <c r="HG69" s="33">
        <f t="shared" si="7"/>
        <v>-5.6371396139698222E-3</v>
      </c>
      <c r="HH69" s="33">
        <f t="shared" si="40"/>
        <v>0.10017053025555954</v>
      </c>
      <c r="HI69" s="30">
        <f t="shared" si="54"/>
        <v>1.9659410872524864E-2</v>
      </c>
      <c r="HJ69" s="30">
        <f t="shared" si="41"/>
        <v>-4.2609267899074252E-2</v>
      </c>
      <c r="HK69" s="33">
        <f t="shared" si="42"/>
        <v>4.6925921906232473E-2</v>
      </c>
      <c r="HL69" s="61">
        <f t="shared" si="43"/>
        <v>5.2066104683294754E-3</v>
      </c>
      <c r="HM69" s="61">
        <f t="shared" si="44"/>
        <v>-2.5148577609513775E-2</v>
      </c>
      <c r="HN69" s="33">
        <f t="shared" si="45"/>
        <v>2.5681895341867891E-2</v>
      </c>
      <c r="HO69" s="30">
        <f t="shared" si="46"/>
        <v>-19.985200545393052</v>
      </c>
      <c r="HP69" s="30">
        <f t="shared" si="47"/>
        <v>11.819965405227759</v>
      </c>
      <c r="HQ69" s="29">
        <v>8000</v>
      </c>
      <c r="HR69" s="30">
        <v>50265.482457436687</v>
      </c>
      <c r="HS69" s="30">
        <f t="shared" si="48"/>
        <v>-31.805165950620811</v>
      </c>
      <c r="HT69" s="30">
        <f t="shared" si="49"/>
        <v>-31.807458563668227</v>
      </c>
      <c r="HU69" s="30">
        <f t="shared" si="50"/>
        <v>-2.2926130474161255E-3</v>
      </c>
      <c r="HV69" s="30">
        <f t="shared" si="8"/>
        <v>-11.869335670347535</v>
      </c>
      <c r="HW69" s="30">
        <f t="shared" si="9"/>
        <v>-11.892528584776397</v>
      </c>
      <c r="HX69" s="73">
        <f t="shared" si="10"/>
        <v>-4.0030451240227194E-3</v>
      </c>
      <c r="HY69" s="30">
        <f t="shared" si="51"/>
        <v>-4.7077652072360365E-2</v>
      </c>
      <c r="HZ69" s="74">
        <f t="shared" si="52"/>
        <v>2.31929144288614E-2</v>
      </c>
    </row>
    <row r="70" spans="5:234" ht="15" customHeight="1">
      <c r="I70" s="168">
        <f>AJ46*(O65-1)/AJ34</f>
        <v>4.7699999999999996</v>
      </c>
      <c r="J70" s="168"/>
      <c r="K70" s="168"/>
      <c r="L70" s="168"/>
      <c r="M70" s="168"/>
      <c r="N70" s="30" t="s">
        <v>69</v>
      </c>
      <c r="FT70" s="29">
        <v>9000</v>
      </c>
      <c r="FU70" s="27">
        <f t="shared" si="12"/>
        <v>56548.667764616279</v>
      </c>
      <c r="FV70" s="30">
        <f t="shared" si="53"/>
        <v>490.85773019594637</v>
      </c>
      <c r="FW70" s="30">
        <f t="shared" si="13"/>
        <v>4.9582996774762957</v>
      </c>
      <c r="FX70" s="34">
        <f t="shared" si="14"/>
        <v>490.88277218579196</v>
      </c>
      <c r="FY70" s="30">
        <f t="shared" si="15"/>
        <v>2.5680356572260313E-2</v>
      </c>
      <c r="FZ70" s="30">
        <f t="shared" si="16"/>
        <v>-2.4791498387381479</v>
      </c>
      <c r="GA70" s="34">
        <f t="shared" si="17"/>
        <v>2.4792828405869836</v>
      </c>
      <c r="GB70" s="34">
        <f t="shared" si="18"/>
        <v>490.55780316617614</v>
      </c>
      <c r="GC70" s="34">
        <f t="shared" si="19"/>
        <v>231.11740188245145</v>
      </c>
      <c r="GD70" s="34">
        <f t="shared" si="20"/>
        <v>542.27503326275257</v>
      </c>
      <c r="GE70" s="55">
        <f t="shared" si="21"/>
        <v>54.721098416911929</v>
      </c>
      <c r="GF70" s="55">
        <f t="shared" si="22"/>
        <v>-115.55870094122572</v>
      </c>
      <c r="GG70" s="34">
        <f t="shared" si="23"/>
        <v>127.86012660394563</v>
      </c>
      <c r="GH70" s="30">
        <f t="shared" si="24"/>
        <v>121.23780170587622</v>
      </c>
      <c r="GI70" s="30">
        <f t="shared" si="0"/>
        <v>-6.1829685769863678</v>
      </c>
      <c r="GJ70" s="34">
        <f t="shared" si="25"/>
        <v>121.39536096118897</v>
      </c>
      <c r="GK70" s="34">
        <f t="shared" si="26"/>
        <v>54.721098416911929</v>
      </c>
      <c r="GL70" s="34">
        <f t="shared" si="27"/>
        <v>-257.02976146735489</v>
      </c>
      <c r="GM70" s="34">
        <f t="shared" si="28"/>
        <v>262.79021460457528</v>
      </c>
      <c r="GN70" s="55">
        <f t="shared" si="1"/>
        <v>1090.5578031661762</v>
      </c>
      <c r="GO70" s="55">
        <f t="shared" si="2"/>
        <v>231.11740188245145</v>
      </c>
      <c r="GP70" s="34">
        <f t="shared" si="29"/>
        <v>1114.7787114488376</v>
      </c>
      <c r="GQ70" s="55">
        <f t="shared" si="30"/>
        <v>109.20695888051971</v>
      </c>
      <c r="GR70" s="55">
        <f t="shared" si="31"/>
        <v>-231.23538167527792</v>
      </c>
      <c r="GS70" s="34">
        <f t="shared" si="32"/>
        <v>255.72634124478256</v>
      </c>
      <c r="GT70" s="56">
        <f t="shared" si="33"/>
        <v>1090.6224922426422</v>
      </c>
      <c r="GU70" s="56">
        <f t="shared" si="33"/>
        <v>4.8403198846498299</v>
      </c>
      <c r="GV70" s="34">
        <f t="shared" si="34"/>
        <v>1090.6332331641734</v>
      </c>
      <c r="GW70" s="30">
        <f t="shared" si="35"/>
        <v>109.13903210515979</v>
      </c>
      <c r="GX70" s="30">
        <f t="shared" si="3"/>
        <v>-4.9592510851247269</v>
      </c>
      <c r="GY70" s="34">
        <f t="shared" si="36"/>
        <v>109.25164758563784</v>
      </c>
      <c r="GZ70" s="34">
        <f t="shared" si="56"/>
        <v>599.99676230110617</v>
      </c>
      <c r="HA70" s="34">
        <f t="shared" si="56"/>
        <v>-9.5140764843115733E-4</v>
      </c>
      <c r="HB70" s="34">
        <f t="shared" si="37"/>
        <v>599.99676230186049</v>
      </c>
      <c r="HC70" s="33">
        <f t="shared" si="5"/>
        <v>0.18189938150689405</v>
      </c>
      <c r="HD70" s="33">
        <f t="shared" si="6"/>
        <v>-8.2651746413478482E-3</v>
      </c>
      <c r="HE70" s="33">
        <f t="shared" ref="HE70:HE86" si="57">SQRT(HC70^2+HD70^2)</f>
        <v>0.18208706188096552</v>
      </c>
      <c r="HF70" s="33">
        <f t="shared" si="39"/>
        <v>0.10000859215015351</v>
      </c>
      <c r="HG70" s="33">
        <f t="shared" si="7"/>
        <v>-5.0087858717961431E-3</v>
      </c>
      <c r="HH70" s="33">
        <f t="shared" si="40"/>
        <v>0.10013394249586526</v>
      </c>
      <c r="HI70" s="30">
        <f t="shared" si="54"/>
        <v>1.6286521919733035E-2</v>
      </c>
      <c r="HJ70" s="30">
        <f t="shared" si="41"/>
        <v>-3.9466469634082381E-2</v>
      </c>
      <c r="HK70" s="33">
        <f t="shared" si="42"/>
        <v>4.26948828505231E-2</v>
      </c>
      <c r="HL70" s="61">
        <f t="shared" si="43"/>
        <v>4.1714586543246529E-3</v>
      </c>
      <c r="HM70" s="61">
        <f t="shared" si="44"/>
        <v>-2.2597590329599276E-2</v>
      </c>
      <c r="HN70" s="33">
        <f t="shared" si="45"/>
        <v>2.2979385457603925E-2</v>
      </c>
      <c r="HO70" s="30">
        <f t="shared" si="46"/>
        <v>-19.988373687180431</v>
      </c>
      <c r="HP70" s="30">
        <f t="shared" si="47"/>
        <v>12.783020502070851</v>
      </c>
      <c r="HQ70" s="29">
        <v>9000</v>
      </c>
      <c r="HR70" s="30">
        <v>56548.667764616279</v>
      </c>
      <c r="HS70" s="30">
        <f t="shared" si="48"/>
        <v>-32.771394189251282</v>
      </c>
      <c r="HT70" s="30">
        <f t="shared" si="49"/>
        <v>-32.7732317983683</v>
      </c>
      <c r="HU70" s="30">
        <f t="shared" si="50"/>
        <v>-1.8376091170182463E-3</v>
      </c>
      <c r="HV70" s="30">
        <f t="shared" si="8"/>
        <v>-12.835108905047608</v>
      </c>
      <c r="HW70" s="30">
        <f t="shared" si="9"/>
        <v>-12.858756823406868</v>
      </c>
      <c r="HX70" s="73">
        <f t="shared" si="10"/>
        <v>-3.2376981395145776E-3</v>
      </c>
      <c r="HY70" s="30">
        <f t="shared" si="51"/>
        <v>-5.0250793859738963E-2</v>
      </c>
      <c r="HZ70" s="74">
        <f t="shared" si="52"/>
        <v>2.3647918359259279E-2</v>
      </c>
    </row>
    <row r="71" spans="5:234" ht="15" customHeight="1">
      <c r="G71" s="30" t="s">
        <v>44</v>
      </c>
      <c r="I71" s="30" t="s">
        <v>263</v>
      </c>
      <c r="FT71" s="29">
        <v>10000</v>
      </c>
      <c r="FU71" s="27">
        <f t="shared" si="12"/>
        <v>62831.853071795864</v>
      </c>
      <c r="FV71" s="30">
        <f t="shared" si="53"/>
        <v>490.86748788338019</v>
      </c>
      <c r="FW71" s="30">
        <f t="shared" si="13"/>
        <v>4.4625606775273177</v>
      </c>
      <c r="FX71" s="34">
        <f t="shared" si="14"/>
        <v>490.88777241722067</v>
      </c>
      <c r="FY71" s="30">
        <f t="shared" si="15"/>
        <v>2.0801512855374862E-2</v>
      </c>
      <c r="FZ71" s="30">
        <f t="shared" si="16"/>
        <v>-2.2312803387636588</v>
      </c>
      <c r="GA71" s="34">
        <f t="shared" si="17"/>
        <v>2.2313772995821077</v>
      </c>
      <c r="GB71" s="34">
        <f t="shared" si="18"/>
        <v>508.15553218783805</v>
      </c>
      <c r="GC71" s="34">
        <f t="shared" si="19"/>
        <v>215.50548947418852</v>
      </c>
      <c r="GD71" s="34">
        <f t="shared" si="20"/>
        <v>551.96436559493088</v>
      </c>
      <c r="GE71" s="55">
        <f t="shared" si="21"/>
        <v>45.922233906081011</v>
      </c>
      <c r="GF71" s="55">
        <f t="shared" si="22"/>
        <v>-107.75274473709426</v>
      </c>
      <c r="GG71" s="34">
        <f t="shared" si="23"/>
        <v>117.13029311541148</v>
      </c>
      <c r="GH71" s="30">
        <f t="shared" si="24"/>
        <v>121.2329228360946</v>
      </c>
      <c r="GI71" s="30">
        <f t="shared" si="0"/>
        <v>-5.5647172031870582</v>
      </c>
      <c r="GJ71" s="34">
        <f t="shared" si="25"/>
        <v>121.36056878959457</v>
      </c>
      <c r="GK71" s="34">
        <f t="shared" si="26"/>
        <v>45.922233906081011</v>
      </c>
      <c r="GL71" s="34">
        <f t="shared" si="27"/>
        <v>-235.07669921061051</v>
      </c>
      <c r="GM71" s="34">
        <f t="shared" si="28"/>
        <v>239.52015797982571</v>
      </c>
      <c r="GN71" s="55">
        <f t="shared" si="1"/>
        <v>1108.1555321878382</v>
      </c>
      <c r="GO71" s="55">
        <f t="shared" si="2"/>
        <v>215.50548947418852</v>
      </c>
      <c r="GP71" s="34">
        <f t="shared" si="29"/>
        <v>1128.9159842574736</v>
      </c>
      <c r="GQ71" s="55">
        <f t="shared" si="30"/>
        <v>91.647825453496111</v>
      </c>
      <c r="GR71" s="55">
        <f t="shared" si="31"/>
        <v>-215.59326391955688</v>
      </c>
      <c r="GS71" s="34">
        <f t="shared" si="32"/>
        <v>234.26433650439026</v>
      </c>
      <c r="GT71" s="56">
        <f t="shared" si="33"/>
        <v>1090.6708455247144</v>
      </c>
      <c r="GU71" s="56">
        <f t="shared" si="33"/>
        <v>4.3747862321589537</v>
      </c>
      <c r="GV71" s="34">
        <f t="shared" si="34"/>
        <v>1090.6796193347398</v>
      </c>
      <c r="GW71" s="30">
        <f t="shared" si="35"/>
        <v>109.12984457621249</v>
      </c>
      <c r="GX71" s="30">
        <f t="shared" si="3"/>
        <v>-4.4632666839460731</v>
      </c>
      <c r="GY71" s="34">
        <f t="shared" si="36"/>
        <v>109.22107730067636</v>
      </c>
      <c r="GZ71" s="34">
        <f t="shared" si="56"/>
        <v>599.99733245959271</v>
      </c>
      <c r="HA71" s="34">
        <f t="shared" si="56"/>
        <v>-7.0600641875540049E-4</v>
      </c>
      <c r="HB71" s="34">
        <f t="shared" si="37"/>
        <v>599.99733246000812</v>
      </c>
      <c r="HC71" s="33">
        <f t="shared" si="5"/>
        <v>0.18188389168423355</v>
      </c>
      <c r="HD71" s="33">
        <f t="shared" si="6"/>
        <v>-7.4385968591812847E-3</v>
      </c>
      <c r="HE71" s="33">
        <f t="shared" si="57"/>
        <v>0.18203593814803556</v>
      </c>
      <c r="HF71" s="33">
        <f t="shared" si="39"/>
        <v>0.10000652465460273</v>
      </c>
      <c r="HG71" s="33">
        <f t="shared" si="7"/>
        <v>-4.5065542160078638E-3</v>
      </c>
      <c r="HH71" s="33">
        <f t="shared" si="40"/>
        <v>0.10010801168934225</v>
      </c>
      <c r="HI71" s="30">
        <f t="shared" si="54"/>
        <v>1.366616760851736E-2</v>
      </c>
      <c r="HJ71" s="30">
        <f t="shared" si="41"/>
        <v>-3.6632921669270936E-2</v>
      </c>
      <c r="HK71" s="33">
        <f t="shared" si="42"/>
        <v>3.9099042023188105E-2</v>
      </c>
      <c r="HL71" s="61">
        <f t="shared" si="43"/>
        <v>3.4130657766623588E-3</v>
      </c>
      <c r="HM71" s="61">
        <f t="shared" si="44"/>
        <v>-2.0498284539105134E-2</v>
      </c>
      <c r="HN71" s="33">
        <f t="shared" si="45"/>
        <v>2.0780488132908247E-2</v>
      </c>
      <c r="HO71" s="30">
        <f t="shared" si="46"/>
        <v>-19.990623286929498</v>
      </c>
      <c r="HP71" s="30">
        <f t="shared" si="47"/>
        <v>13.654757825680193</v>
      </c>
      <c r="HQ71" s="29">
        <v>10000</v>
      </c>
      <c r="HR71" s="30">
        <v>62831.853071795864</v>
      </c>
      <c r="HS71" s="30">
        <f t="shared" si="48"/>
        <v>-33.645381112609691</v>
      </c>
      <c r="HT71" s="30">
        <f t="shared" si="49"/>
        <v>-33.646885101949678</v>
      </c>
      <c r="HU71" s="30">
        <f t="shared" si="50"/>
        <v>-1.5039893399872994E-3</v>
      </c>
      <c r="HV71" s="30">
        <f t="shared" si="8"/>
        <v>-13.708762208628986</v>
      </c>
      <c r="HW71" s="30">
        <f t="shared" si="9"/>
        <v>-13.732743746765276</v>
      </c>
      <c r="HX71" s="73">
        <f t="shared" si="10"/>
        <v>-2.6675399918758558E-3</v>
      </c>
      <c r="HY71" s="30">
        <f t="shared" si="51"/>
        <v>-5.2500393608806206E-2</v>
      </c>
      <c r="HZ71" s="74">
        <f t="shared" si="52"/>
        <v>2.3981538136290226E-2</v>
      </c>
    </row>
    <row r="72" spans="5:234" ht="15" customHeight="1">
      <c r="I72" s="104">
        <f>I70/1000000*AJ34^2</f>
        <v>1.7171999999999996</v>
      </c>
      <c r="J72" s="104"/>
      <c r="K72" s="104"/>
      <c r="L72" s="104"/>
      <c r="N72" s="30" t="s">
        <v>46</v>
      </c>
      <c r="FT72" s="29">
        <v>11000</v>
      </c>
      <c r="FU72" s="27">
        <f t="shared" si="12"/>
        <v>69115.038378975441</v>
      </c>
      <c r="FV72" s="30">
        <f t="shared" si="53"/>
        <v>490.87470772462467</v>
      </c>
      <c r="FW72" s="30">
        <f t="shared" si="13"/>
        <v>4.0569345325434139</v>
      </c>
      <c r="FX72" s="34">
        <f t="shared" si="14"/>
        <v>490.89147212142223</v>
      </c>
      <c r="FY72" s="30">
        <f t="shared" si="15"/>
        <v>1.7191592233150584E-2</v>
      </c>
      <c r="FZ72" s="30">
        <f t="shared" si="16"/>
        <v>-2.0284672662717069</v>
      </c>
      <c r="GA72" s="34">
        <f t="shared" si="17"/>
        <v>2.0285401157431724</v>
      </c>
      <c r="GB72" s="34">
        <f t="shared" si="18"/>
        <v>522.01505527704262</v>
      </c>
      <c r="GC72" s="34">
        <f t="shared" si="19"/>
        <v>201.28378434682699</v>
      </c>
      <c r="GD72" s="34">
        <f t="shared" si="20"/>
        <v>559.47732731262113</v>
      </c>
      <c r="GE72" s="55">
        <f t="shared" si="21"/>
        <v>38.992472361478697</v>
      </c>
      <c r="GF72" s="55">
        <f t="shared" si="22"/>
        <v>-100.6418921734135</v>
      </c>
      <c r="GG72" s="34">
        <f t="shared" si="23"/>
        <v>107.93147530310918</v>
      </c>
      <c r="GH72" s="30">
        <f t="shared" si="24"/>
        <v>121.22931289618744</v>
      </c>
      <c r="GI72" s="30">
        <f t="shared" si="0"/>
        <v>-5.0588644157475251</v>
      </c>
      <c r="GJ72" s="34">
        <f t="shared" si="25"/>
        <v>121.33481946440038</v>
      </c>
      <c r="GK72" s="34">
        <f t="shared" si="26"/>
        <v>38.992472361478697</v>
      </c>
      <c r="GL72" s="34">
        <f t="shared" si="27"/>
        <v>-216.39094169479193</v>
      </c>
      <c r="GM72" s="34">
        <f t="shared" si="28"/>
        <v>219.87599357005649</v>
      </c>
      <c r="GN72" s="55">
        <f t="shared" si="1"/>
        <v>1122.0150552770426</v>
      </c>
      <c r="GO72" s="55">
        <f t="shared" si="2"/>
        <v>201.28378434682699</v>
      </c>
      <c r="GP72" s="34">
        <f t="shared" si="29"/>
        <v>1139.9267283949987</v>
      </c>
      <c r="GQ72" s="55">
        <f t="shared" si="30"/>
        <v>77.818587588029388</v>
      </c>
      <c r="GR72" s="55">
        <f t="shared" si="31"/>
        <v>-201.35073959199252</v>
      </c>
      <c r="GS72" s="34">
        <f t="shared" si="32"/>
        <v>215.86535828714665</v>
      </c>
      <c r="GT72" s="56">
        <f t="shared" si="33"/>
        <v>1090.7083505896967</v>
      </c>
      <c r="GU72" s="56">
        <f t="shared" si="33"/>
        <v>3.9899792873778779</v>
      </c>
      <c r="GV72" s="34">
        <f t="shared" si="34"/>
        <v>1090.7156485449407</v>
      </c>
      <c r="GW72" s="30">
        <f t="shared" si="35"/>
        <v>109.1230594051393</v>
      </c>
      <c r="GX72" s="30">
        <f t="shared" si="3"/>
        <v>-4.0574720532851707</v>
      </c>
      <c r="GY72" s="34">
        <f t="shared" si="36"/>
        <v>109.19846690041372</v>
      </c>
      <c r="GZ72" s="34">
        <f t="shared" si="56"/>
        <v>599.99776712976393</v>
      </c>
      <c r="HA72" s="34">
        <f t="shared" si="56"/>
        <v>-5.3752074175683617E-4</v>
      </c>
      <c r="HB72" s="34">
        <f t="shared" si="37"/>
        <v>599.99776713000472</v>
      </c>
      <c r="HC72" s="33">
        <f t="shared" si="5"/>
        <v>0.18187244856266896</v>
      </c>
      <c r="HD72" s="33">
        <f t="shared" si="6"/>
        <v>-6.7623156540751088E-3</v>
      </c>
      <c r="HE72" s="33">
        <f t="shared" si="57"/>
        <v>0.18199812213093303</v>
      </c>
      <c r="HF72" s="33">
        <f t="shared" si="39"/>
        <v>0.10000511857172981</v>
      </c>
      <c r="HG72" s="33">
        <f t="shared" si="7"/>
        <v>-4.0959254567798633E-3</v>
      </c>
      <c r="HH72" s="33">
        <f t="shared" si="40"/>
        <v>0.10008896215813827</v>
      </c>
      <c r="HI72" s="30">
        <f t="shared" si="54"/>
        <v>1.1602921387239996E-2</v>
      </c>
      <c r="HJ72" s="30">
        <f t="shared" si="41"/>
        <v>-3.4099565918262499E-2</v>
      </c>
      <c r="HK72" s="33">
        <f t="shared" si="42"/>
        <v>3.601955275308677E-2</v>
      </c>
      <c r="HL72" s="61">
        <f t="shared" si="43"/>
        <v>2.8419917291597442E-3</v>
      </c>
      <c r="HM72" s="61">
        <f t="shared" si="44"/>
        <v>-1.8744656145538163E-2</v>
      </c>
      <c r="HN72" s="33">
        <f t="shared" si="45"/>
        <v>1.8958877894091571E-2</v>
      </c>
      <c r="HO72" s="30">
        <f t="shared" si="46"/>
        <v>-19.992276280209207</v>
      </c>
      <c r="HP72" s="30">
        <f t="shared" si="47"/>
        <v>14.450218501537865</v>
      </c>
      <c r="HQ72" s="29">
        <v>11000</v>
      </c>
      <c r="HR72" s="30">
        <v>69115.038378975441</v>
      </c>
      <c r="HS72" s="30">
        <f t="shared" si="48"/>
        <v>-34.442494781747072</v>
      </c>
      <c r="HT72" s="30">
        <f t="shared" si="49"/>
        <v>-34.443747410449895</v>
      </c>
      <c r="HU72" s="30">
        <f t="shared" si="50"/>
        <v>-1.2526287028222782E-3</v>
      </c>
      <c r="HV72" s="30">
        <f t="shared" si="8"/>
        <v>-14.505624517129203</v>
      </c>
      <c r="HW72" s="30">
        <f t="shared" si="9"/>
        <v>-14.529857415902658</v>
      </c>
      <c r="HX72" s="73">
        <f t="shared" si="10"/>
        <v>-2.2328699952822717E-3</v>
      </c>
      <c r="HY72" s="30">
        <f t="shared" si="51"/>
        <v>-5.4153386888515342E-2</v>
      </c>
      <c r="HZ72" s="74">
        <f t="shared" si="52"/>
        <v>2.4232898773455247E-2</v>
      </c>
    </row>
    <row r="73" spans="5:234" ht="15" customHeight="1">
      <c r="E73" s="30" t="s">
        <v>264</v>
      </c>
      <c r="FT73" s="29">
        <v>12000</v>
      </c>
      <c r="FU73" s="27">
        <f t="shared" si="12"/>
        <v>75398.223686155034</v>
      </c>
      <c r="FV73" s="30">
        <f t="shared" si="53"/>
        <v>490.88019915181519</v>
      </c>
      <c r="FW73" s="30">
        <f t="shared" si="13"/>
        <v>3.7188993171807092</v>
      </c>
      <c r="FX73" s="34">
        <f t="shared" si="14"/>
        <v>490.89428610593654</v>
      </c>
      <c r="FY73" s="30">
        <f t="shared" si="15"/>
        <v>1.4445878637898134E-2</v>
      </c>
      <c r="FZ73" s="30">
        <f t="shared" si="16"/>
        <v>-1.8594496585903546</v>
      </c>
      <c r="GA73" s="34">
        <f t="shared" si="17"/>
        <v>1.8595057720376691</v>
      </c>
      <c r="GB73" s="34">
        <f t="shared" si="18"/>
        <v>533.07585780704574</v>
      </c>
      <c r="GC73" s="34">
        <f t="shared" si="19"/>
        <v>188.43839413948416</v>
      </c>
      <c r="GD73" s="34">
        <f t="shared" si="20"/>
        <v>565.40153746040096</v>
      </c>
      <c r="GE73" s="55">
        <f t="shared" si="21"/>
        <v>33.462071096477111</v>
      </c>
      <c r="GF73" s="55">
        <f t="shared" si="22"/>
        <v>-94.21919706974208</v>
      </c>
      <c r="GG73" s="34">
        <f t="shared" si="23"/>
        <v>99.984835342828788</v>
      </c>
      <c r="GH73" s="30">
        <f t="shared" si="24"/>
        <v>121.2265671679244</v>
      </c>
      <c r="GI73" s="30">
        <f t="shared" si="0"/>
        <v>-4.6373137122765211</v>
      </c>
      <c r="GJ73" s="34">
        <f t="shared" si="25"/>
        <v>121.31523097198206</v>
      </c>
      <c r="GK73" s="34">
        <f t="shared" si="26"/>
        <v>33.462071096477111</v>
      </c>
      <c r="GL73" s="34">
        <f t="shared" si="27"/>
        <v>-200.32249246433898</v>
      </c>
      <c r="GM73" s="34">
        <f t="shared" si="28"/>
        <v>203.0980334449126</v>
      </c>
      <c r="GN73" s="55">
        <f t="shared" si="1"/>
        <v>1133.0758578070458</v>
      </c>
      <c r="GO73" s="55">
        <f t="shared" si="2"/>
        <v>188.43839413948416</v>
      </c>
      <c r="GP73" s="34">
        <f t="shared" si="29"/>
        <v>1148.6382929064484</v>
      </c>
      <c r="GQ73" s="55">
        <f t="shared" si="30"/>
        <v>66.781844154013413</v>
      </c>
      <c r="GR73" s="55">
        <f t="shared" si="31"/>
        <v>-188.4905699118666</v>
      </c>
      <c r="GS73" s="34">
        <f t="shared" si="32"/>
        <v>199.97127207254348</v>
      </c>
      <c r="GT73" s="56">
        <f t="shared" si="33"/>
        <v>1090.7379011128744</v>
      </c>
      <c r="GU73" s="56">
        <f t="shared" si="33"/>
        <v>3.6667235447982591</v>
      </c>
      <c r="GV73" s="34">
        <f t="shared" si="34"/>
        <v>1090.7440642908275</v>
      </c>
      <c r="GW73" s="30">
        <f t="shared" si="35"/>
        <v>109.11790615437799</v>
      </c>
      <c r="GX73" s="30">
        <f t="shared" si="3"/>
        <v>-3.7193175777056808</v>
      </c>
      <c r="GY73" s="34">
        <f t="shared" si="36"/>
        <v>109.18127479911321</v>
      </c>
      <c r="GZ73" s="34">
        <f t="shared" si="56"/>
        <v>599.99810530619322</v>
      </c>
      <c r="HA73" s="34">
        <f t="shared" si="56"/>
        <v>-4.1826052497162536E-4</v>
      </c>
      <c r="HB73" s="34">
        <f t="shared" si="37"/>
        <v>599.99810530633897</v>
      </c>
      <c r="HC73" s="33">
        <f t="shared" si="5"/>
        <v>0.18186375553867334</v>
      </c>
      <c r="HD73" s="33">
        <f t="shared" si="6"/>
        <v>-6.1987554266988891E-3</v>
      </c>
      <c r="HE73" s="33">
        <f t="shared" si="57"/>
        <v>0.18196936595886234</v>
      </c>
      <c r="HF73" s="33">
        <f t="shared" si="39"/>
        <v>0.10000412228143159</v>
      </c>
      <c r="HG73" s="33">
        <f t="shared" si="7"/>
        <v>-3.753924322938083E-3</v>
      </c>
      <c r="HH73" s="33">
        <f t="shared" si="40"/>
        <v>0.10007455431378082</v>
      </c>
      <c r="HI73" s="30">
        <f t="shared" si="54"/>
        <v>9.9565975028638974E-3</v>
      </c>
      <c r="HJ73" s="30">
        <f t="shared" si="41"/>
        <v>-3.1840898992972079E-2</v>
      </c>
      <c r="HK73" s="33">
        <f t="shared" si="42"/>
        <v>3.3361305168033907E-2</v>
      </c>
      <c r="HL73" s="61">
        <f t="shared" si="43"/>
        <v>2.4018430026608315E-3</v>
      </c>
      <c r="HM73" s="61">
        <f t="shared" si="44"/>
        <v>-1.7260220222175313E-2</v>
      </c>
      <c r="HN73" s="33">
        <f t="shared" si="45"/>
        <v>1.7426532986438249E-2</v>
      </c>
      <c r="HO73" s="30">
        <f t="shared" si="46"/>
        <v>-19.993526707344312</v>
      </c>
      <c r="HP73" s="30">
        <f t="shared" si="47"/>
        <v>15.181194624934452</v>
      </c>
      <c r="HQ73" s="29">
        <v>12000</v>
      </c>
      <c r="HR73" s="30">
        <v>75398.223686155034</v>
      </c>
      <c r="HS73" s="30">
        <f t="shared" si="48"/>
        <v>-35.174721332278764</v>
      </c>
      <c r="HT73" s="30">
        <f t="shared" si="49"/>
        <v>-35.175780146071872</v>
      </c>
      <c r="HU73" s="30">
        <f t="shared" si="50"/>
        <v>-1.0588137931080155E-3</v>
      </c>
      <c r="HV73" s="30">
        <f t="shared" si="8"/>
        <v>-15.23765725275118</v>
      </c>
      <c r="HW73" s="30">
        <f t="shared" si="9"/>
        <v>-15.26208396643435</v>
      </c>
      <c r="HX73" s="73">
        <f t="shared" si="10"/>
        <v>-1.8946936610291232E-3</v>
      </c>
      <c r="HY73" s="30">
        <f t="shared" si="51"/>
        <v>-5.5403814023620157E-2</v>
      </c>
      <c r="HZ73" s="74">
        <f t="shared" si="52"/>
        <v>2.442671368316951E-2</v>
      </c>
    </row>
    <row r="74" spans="5:234" ht="15" customHeight="1">
      <c r="G74" s="30" t="s">
        <v>266</v>
      </c>
      <c r="I74" s="30" t="s">
        <v>267</v>
      </c>
      <c r="FT74" s="29">
        <v>13000</v>
      </c>
      <c r="FU74" s="27">
        <f t="shared" si="12"/>
        <v>81681.408993334626</v>
      </c>
      <c r="FV74" s="30">
        <f t="shared" si="53"/>
        <v>490.88447286062035</v>
      </c>
      <c r="FW74" s="30">
        <f t="shared" si="13"/>
        <v>3.4328607869515135</v>
      </c>
      <c r="FX74" s="34">
        <f t="shared" si="14"/>
        <v>490.89647608108953</v>
      </c>
      <c r="FY74" s="30">
        <f t="shared" si="15"/>
        <v>1.2309024235291286E-2</v>
      </c>
      <c r="FZ74" s="30">
        <f t="shared" si="16"/>
        <v>-1.7164303934757568</v>
      </c>
      <c r="GA74" s="34">
        <f t="shared" si="17"/>
        <v>1.7164745287142966</v>
      </c>
      <c r="GB74" s="34">
        <f t="shared" si="18"/>
        <v>542.01514015365694</v>
      </c>
      <c r="GC74" s="34">
        <f t="shared" si="19"/>
        <v>176.87371565465978</v>
      </c>
      <c r="GD74" s="34">
        <f t="shared" si="20"/>
        <v>570.14447594033027</v>
      </c>
      <c r="GE74" s="55">
        <f t="shared" si="21"/>
        <v>28.992429923171532</v>
      </c>
      <c r="GF74" s="55">
        <f t="shared" si="22"/>
        <v>-88.436857827329888</v>
      </c>
      <c r="GG74" s="34">
        <f t="shared" si="23"/>
        <v>93.067925813469003</v>
      </c>
      <c r="GH74" s="30">
        <f t="shared" si="24"/>
        <v>121.22443030210681</v>
      </c>
      <c r="GI74" s="30">
        <f t="shared" si="0"/>
        <v>-4.2806125968783721</v>
      </c>
      <c r="GJ74" s="34">
        <f t="shared" si="25"/>
        <v>121.29998411489964</v>
      </c>
      <c r="GK74" s="34">
        <f t="shared" si="26"/>
        <v>28.992429923171532</v>
      </c>
      <c r="GL74" s="34">
        <f t="shared" si="27"/>
        <v>-186.37836126849623</v>
      </c>
      <c r="GM74" s="34">
        <f t="shared" si="28"/>
        <v>188.6198678347011</v>
      </c>
      <c r="GN74" s="55">
        <f t="shared" si="1"/>
        <v>1142.0151401536568</v>
      </c>
      <c r="GO74" s="55">
        <f t="shared" si="2"/>
        <v>176.87371565465978</v>
      </c>
      <c r="GP74" s="34">
        <f t="shared" si="29"/>
        <v>1155.6309495810772</v>
      </c>
      <c r="GQ74" s="55">
        <f t="shared" si="30"/>
        <v>57.861916974129173</v>
      </c>
      <c r="GR74" s="55">
        <f t="shared" si="31"/>
        <v>-176.91512833714089</v>
      </c>
      <c r="GS74" s="34">
        <f t="shared" si="32"/>
        <v>186.13694977211819</v>
      </c>
      <c r="GT74" s="56">
        <f t="shared" si="33"/>
        <v>1090.7615299884064</v>
      </c>
      <c r="GU74" s="56">
        <f t="shared" si="33"/>
        <v>3.3914481044704132</v>
      </c>
      <c r="GV74" s="34">
        <f t="shared" si="34"/>
        <v>1090.7668024022801</v>
      </c>
      <c r="GW74" s="30">
        <f t="shared" si="35"/>
        <v>109.11390028383343</v>
      </c>
      <c r="GX74" s="30">
        <f t="shared" si="3"/>
        <v>-3.4331923897346113</v>
      </c>
      <c r="GY74" s="34">
        <f t="shared" si="36"/>
        <v>109.16789841860691</v>
      </c>
      <c r="GZ74" s="34">
        <f t="shared" si="56"/>
        <v>599.99837314445381</v>
      </c>
      <c r="HA74" s="34">
        <f t="shared" si="56"/>
        <v>-3.3160278309773972E-4</v>
      </c>
      <c r="HB74" s="34">
        <f t="shared" si="37"/>
        <v>599.99837314454544</v>
      </c>
      <c r="HC74" s="33">
        <f t="shared" si="5"/>
        <v>0.18185699672715985</v>
      </c>
      <c r="HD74" s="33">
        <f t="shared" si="6"/>
        <v>-5.7219023235948342E-3</v>
      </c>
      <c r="HE74" s="33">
        <f t="shared" si="57"/>
        <v>0.18194699070010195</v>
      </c>
      <c r="HF74" s="33">
        <f t="shared" si="39"/>
        <v>0.10000339195905536</v>
      </c>
      <c r="HG74" s="33">
        <f t="shared" si="7"/>
        <v>-3.4646669536039249E-3</v>
      </c>
      <c r="HH74" s="33">
        <f t="shared" si="40"/>
        <v>0.10006339150966179</v>
      </c>
      <c r="HI74" s="30">
        <f t="shared" si="54"/>
        <v>8.626219485244507E-3</v>
      </c>
      <c r="HJ74" s="30">
        <f t="shared" si="41"/>
        <v>-2.9826491523075798E-2</v>
      </c>
      <c r="HK74" s="33">
        <f t="shared" si="42"/>
        <v>3.104885278369757E-2</v>
      </c>
      <c r="HL74" s="61">
        <f t="shared" si="43"/>
        <v>2.0557736392528649E-3</v>
      </c>
      <c r="HM74" s="61">
        <f t="shared" si="44"/>
        <v>-1.5988848653537325E-2</v>
      </c>
      <c r="HN74" s="33">
        <f t="shared" si="45"/>
        <v>1.6120467937425678E-2</v>
      </c>
      <c r="HO74" s="30">
        <f t="shared" si="46"/>
        <v>-19.994495627898893</v>
      </c>
      <c r="HP74" s="30">
        <f t="shared" si="47"/>
        <v>15.857045112194776</v>
      </c>
      <c r="HQ74" s="29">
        <v>13000</v>
      </c>
      <c r="HR74" s="30">
        <v>81681.408993334626</v>
      </c>
      <c r="HS74" s="30">
        <f t="shared" si="48"/>
        <v>-35.851540740093668</v>
      </c>
      <c r="HT74" s="30">
        <f t="shared" si="49"/>
        <v>-35.852447117005298</v>
      </c>
      <c r="HU74" s="30">
        <f t="shared" si="50"/>
        <v>-9.0637691162953615E-4</v>
      </c>
      <c r="HV74" s="30">
        <f t="shared" si="8"/>
        <v>-15.914324223684606</v>
      </c>
      <c r="HW74" s="30">
        <f t="shared" si="9"/>
        <v>-15.938903374249254</v>
      </c>
      <c r="HX74" s="73">
        <f t="shared" si="10"/>
        <v>-1.6268554545604275E-3</v>
      </c>
      <c r="HY74" s="30">
        <f t="shared" si="51"/>
        <v>-5.6372734578200578E-2</v>
      </c>
      <c r="HZ74" s="74">
        <f t="shared" si="52"/>
        <v>2.4579150564647989E-2</v>
      </c>
    </row>
    <row r="75" spans="5:234" ht="15" customHeight="1">
      <c r="G75" s="30" t="s">
        <v>268</v>
      </c>
      <c r="I75" s="30" t="s">
        <v>269</v>
      </c>
      <c r="FT75" s="29">
        <v>15000</v>
      </c>
      <c r="FU75" s="27">
        <f t="shared" si="12"/>
        <v>94247.779607693796</v>
      </c>
      <c r="FV75" s="30">
        <f t="shared" si="53"/>
        <v>490.89059978268182</v>
      </c>
      <c r="FW75" s="30">
        <f t="shared" si="13"/>
        <v>2.9751840949143094</v>
      </c>
      <c r="FX75" s="34">
        <f t="shared" si="14"/>
        <v>490.89961568063967</v>
      </c>
      <c r="FY75" s="30">
        <f t="shared" si="15"/>
        <v>9.2455632045708221E-3</v>
      </c>
      <c r="FZ75" s="30">
        <f t="shared" si="16"/>
        <v>-1.4875920474571547</v>
      </c>
      <c r="GA75" s="34">
        <f t="shared" si="17"/>
        <v>1.487620778322466</v>
      </c>
      <c r="GB75" s="34">
        <f t="shared" si="18"/>
        <v>555.36894470428297</v>
      </c>
      <c r="GC75" s="34">
        <f t="shared" si="19"/>
        <v>157.08465049180847</v>
      </c>
      <c r="GD75" s="34">
        <f t="shared" si="20"/>
        <v>577.15704289394455</v>
      </c>
      <c r="GE75" s="55">
        <f t="shared" si="21"/>
        <v>22.315527647858538</v>
      </c>
      <c r="GF75" s="55">
        <f t="shared" si="22"/>
        <v>-78.542325245904237</v>
      </c>
      <c r="GG75" s="34">
        <f t="shared" si="23"/>
        <v>81.650962206429298</v>
      </c>
      <c r="GH75" s="30">
        <f t="shared" si="24"/>
        <v>121.22136682471158</v>
      </c>
      <c r="GI75" s="30">
        <f t="shared" si="0"/>
        <v>-3.709883290406089</v>
      </c>
      <c r="GJ75" s="34">
        <f t="shared" si="25"/>
        <v>121.27812254846181</v>
      </c>
      <c r="GK75" s="34">
        <f t="shared" si="26"/>
        <v>22.315527647858538</v>
      </c>
      <c r="GL75" s="34">
        <f t="shared" si="27"/>
        <v>-163.42496156158177</v>
      </c>
      <c r="GM75" s="34">
        <f t="shared" si="28"/>
        <v>164.94150731579609</v>
      </c>
      <c r="GN75" s="55">
        <f t="shared" si="1"/>
        <v>1155.368944704283</v>
      </c>
      <c r="GO75" s="55">
        <f t="shared" si="2"/>
        <v>157.08465049180847</v>
      </c>
      <c r="GP75" s="34">
        <f t="shared" si="29"/>
        <v>1165.998707463787</v>
      </c>
      <c r="GQ75" s="55">
        <f t="shared" si="30"/>
        <v>44.536852235605856</v>
      </c>
      <c r="GR75" s="55">
        <f t="shared" si="31"/>
        <v>-157.11196450594849</v>
      </c>
      <c r="GS75" s="34">
        <f t="shared" si="32"/>
        <v>163.30248191002673</v>
      </c>
      <c r="GT75" s="56">
        <f t="shared" si="33"/>
        <v>1090.7963967225708</v>
      </c>
      <c r="GU75" s="56">
        <f t="shared" si="33"/>
        <v>2.9478700807742939</v>
      </c>
      <c r="GV75" s="34">
        <f t="shared" si="34"/>
        <v>1090.8003800150407</v>
      </c>
      <c r="GW75" s="30">
        <f t="shared" si="35"/>
        <v>109.1081646370167</v>
      </c>
      <c r="GX75" s="30">
        <f t="shared" si="3"/>
        <v>-2.9754024493307951</v>
      </c>
      <c r="GY75" s="34">
        <f t="shared" si="36"/>
        <v>109.14872702049175</v>
      </c>
      <c r="GZ75" s="34">
        <f t="shared" si="56"/>
        <v>599.99876441969855</v>
      </c>
      <c r="HA75" s="34">
        <f t="shared" si="56"/>
        <v>-2.1835441648576648E-4</v>
      </c>
      <c r="HB75" s="34">
        <f t="shared" si="37"/>
        <v>599.99876441973822</v>
      </c>
      <c r="HC75" s="33">
        <f t="shared" si="5"/>
        <v>0.18184731734464687</v>
      </c>
      <c r="HD75" s="33">
        <f t="shared" si="6"/>
        <v>-4.9589481155742242E-3</v>
      </c>
      <c r="HE75" s="33">
        <f t="shared" si="57"/>
        <v>0.18191491965162634</v>
      </c>
      <c r="HF75" s="33">
        <f t="shared" si="39"/>
        <v>0.10000241562701603</v>
      </c>
      <c r="HG75" s="33">
        <f t="shared" si="7"/>
        <v>-3.0020843856154514E-3</v>
      </c>
      <c r="HH75" s="33">
        <f t="shared" si="40"/>
        <v>0.10004746694393025</v>
      </c>
      <c r="HI75" s="30">
        <f t="shared" si="54"/>
        <v>6.6391271566056545E-3</v>
      </c>
      <c r="HJ75" s="30">
        <f t="shared" si="41"/>
        <v>-2.6412643623039522E-2</v>
      </c>
      <c r="HK75" s="33">
        <f t="shared" si="42"/>
        <v>2.7234275326493803E-2</v>
      </c>
      <c r="HL75" s="61">
        <f t="shared" si="43"/>
        <v>1.5541669128125526E-3</v>
      </c>
      <c r="HM75" s="61">
        <f t="shared" si="44"/>
        <v>-1.3927777801096679E-2</v>
      </c>
      <c r="HN75" s="33">
        <f t="shared" si="45"/>
        <v>1.4014222392612539E-2</v>
      </c>
      <c r="HO75" s="30">
        <f t="shared" si="46"/>
        <v>-19.995878051839693</v>
      </c>
      <c r="HP75" s="30">
        <f t="shared" si="47"/>
        <v>17.072056492954676</v>
      </c>
      <c r="HQ75" s="29">
        <v>15000</v>
      </c>
      <c r="HR75" s="30">
        <v>94247.779607693796</v>
      </c>
      <c r="HS75" s="30">
        <f t="shared" si="48"/>
        <v>-37.067934544794369</v>
      </c>
      <c r="HT75" s="30">
        <f t="shared" si="49"/>
        <v>-37.068619898803931</v>
      </c>
      <c r="HU75" s="30">
        <f t="shared" si="50"/>
        <v>-6.8535400956193371E-4</v>
      </c>
      <c r="HV75" s="30">
        <f t="shared" si="8"/>
        <v>-17.130497005483239</v>
      </c>
      <c r="HW75" s="30">
        <f t="shared" si="9"/>
        <v>-17.155297178949954</v>
      </c>
      <c r="HX75" s="73">
        <f t="shared" si="10"/>
        <v>-1.2355802617776135E-3</v>
      </c>
      <c r="HY75" s="30">
        <f t="shared" si="51"/>
        <v>-5.7755158519000815E-2</v>
      </c>
      <c r="HZ75" s="74">
        <f t="shared" si="52"/>
        <v>2.4800173466715592E-2</v>
      </c>
    </row>
    <row r="76" spans="5:234" ht="15" customHeight="1">
      <c r="I76" s="169">
        <f>AJ47/AJ34</f>
        <v>0.125</v>
      </c>
      <c r="J76" s="169"/>
      <c r="K76" s="169"/>
      <c r="L76" s="169"/>
      <c r="N76" s="30" t="s">
        <v>69</v>
      </c>
      <c r="FT76" s="29">
        <v>17000</v>
      </c>
      <c r="FU76" s="27">
        <f t="shared" si="12"/>
        <v>106814.15022205297</v>
      </c>
      <c r="FV76" s="30">
        <f t="shared" si="53"/>
        <v>490.89469458026429</v>
      </c>
      <c r="FW76" s="30">
        <f t="shared" si="13"/>
        <v>2.6251848922702821</v>
      </c>
      <c r="FX76" s="34">
        <f t="shared" si="14"/>
        <v>490.90171395379087</v>
      </c>
      <c r="FY76" s="30">
        <f t="shared" si="15"/>
        <v>7.1981644133406924E-3</v>
      </c>
      <c r="FZ76" s="30">
        <f t="shared" si="16"/>
        <v>-1.312592446135141</v>
      </c>
      <c r="GA76" s="34">
        <f t="shared" si="17"/>
        <v>1.3126121830997739</v>
      </c>
      <c r="GB76" s="34">
        <f t="shared" si="18"/>
        <v>564.66819904040437</v>
      </c>
      <c r="GC76" s="34">
        <f t="shared" si="19"/>
        <v>140.93538032292679</v>
      </c>
      <c r="GD76" s="34">
        <f t="shared" si="20"/>
        <v>581.99051232326951</v>
      </c>
      <c r="GE76" s="55">
        <f t="shared" si="21"/>
        <v>17.665900479797845</v>
      </c>
      <c r="GF76" s="55">
        <f t="shared" si="22"/>
        <v>-70.467690161463395</v>
      </c>
      <c r="GG76" s="34">
        <f t="shared" si="23"/>
        <v>72.648326866171715</v>
      </c>
      <c r="GH76" s="30">
        <f t="shared" si="24"/>
        <v>121.2193194149837</v>
      </c>
      <c r="GI76" s="30">
        <f t="shared" si="0"/>
        <v>-3.2734376605018478</v>
      </c>
      <c r="GJ76" s="34">
        <f t="shared" si="25"/>
        <v>121.26350973623119</v>
      </c>
      <c r="GK76" s="34">
        <f t="shared" si="26"/>
        <v>17.665900479797845</v>
      </c>
      <c r="GL76" s="34">
        <f t="shared" si="27"/>
        <v>-145.36413396941415</v>
      </c>
      <c r="GM76" s="34">
        <f t="shared" si="28"/>
        <v>146.43365557289044</v>
      </c>
      <c r="GN76" s="55">
        <f t="shared" si="1"/>
        <v>1164.6681990404045</v>
      </c>
      <c r="GO76" s="55">
        <f t="shared" si="2"/>
        <v>140.93538032292679</v>
      </c>
      <c r="GP76" s="34">
        <f t="shared" si="29"/>
        <v>1173.1644365913874</v>
      </c>
      <c r="GQ76" s="55">
        <f t="shared" si="30"/>
        <v>35.257474121156079</v>
      </c>
      <c r="GR76" s="55">
        <f t="shared" si="31"/>
        <v>-140.95430987984525</v>
      </c>
      <c r="GS76" s="34">
        <f t="shared" si="32"/>
        <v>145.29696127279274</v>
      </c>
      <c r="GT76" s="56">
        <f t="shared" si="33"/>
        <v>1090.8203677418246</v>
      </c>
      <c r="GU76" s="56">
        <f t="shared" si="33"/>
        <v>2.6062553353518183</v>
      </c>
      <c r="GV76" s="34">
        <f t="shared" si="34"/>
        <v>1090.8234812504186</v>
      </c>
      <c r="GW76" s="30">
        <f t="shared" si="35"/>
        <v>109.10433624830505</v>
      </c>
      <c r="GX76" s="30">
        <f t="shared" si="3"/>
        <v>-2.6253360542655044</v>
      </c>
      <c r="GY76" s="34">
        <f t="shared" si="36"/>
        <v>109.13591790781363</v>
      </c>
      <c r="GZ76" s="34">
        <f t="shared" si="56"/>
        <v>599.99903082856929</v>
      </c>
      <c r="HA76" s="34">
        <f t="shared" si="56"/>
        <v>-1.5116199522235974E-4</v>
      </c>
      <c r="HB76" s="34">
        <f t="shared" si="37"/>
        <v>599.99903082858839</v>
      </c>
      <c r="HC76" s="33">
        <f t="shared" si="5"/>
        <v>0.18184085524113236</v>
      </c>
      <c r="HD76" s="33">
        <f t="shared" si="6"/>
        <v>-4.3755213457821601E-3</v>
      </c>
      <c r="HE76" s="33">
        <f t="shared" si="57"/>
        <v>0.18189349032297403</v>
      </c>
      <c r="HF76" s="33">
        <f t="shared" si="39"/>
        <v>0.10000181071746977</v>
      </c>
      <c r="HG76" s="33">
        <f t="shared" si="7"/>
        <v>-2.6485204106782489E-3</v>
      </c>
      <c r="HH76" s="33">
        <f t="shared" si="40"/>
        <v>0.10003687723603946</v>
      </c>
      <c r="HI76" s="30">
        <f t="shared" si="54"/>
        <v>5.255548703262016E-3</v>
      </c>
      <c r="HJ76" s="30">
        <f t="shared" si="41"/>
        <v>-2.3651207984268563E-2</v>
      </c>
      <c r="HK76" s="33">
        <f t="shared" si="42"/>
        <v>2.4228091779739652E-2</v>
      </c>
      <c r="HL76" s="61">
        <f t="shared" si="43"/>
        <v>1.2152794376950643E-3</v>
      </c>
      <c r="HM76" s="61">
        <f t="shared" si="44"/>
        <v>-1.233140964280169E-2</v>
      </c>
      <c r="HN76" s="33">
        <f t="shared" si="45"/>
        <v>1.2391148772017344E-2</v>
      </c>
      <c r="HO76" s="30">
        <f t="shared" si="46"/>
        <v>-19.996797474441212</v>
      </c>
      <c r="HP76" s="30">
        <f t="shared" si="47"/>
        <v>18.140435118990826</v>
      </c>
      <c r="HQ76" s="29">
        <v>17000</v>
      </c>
      <c r="HR76" s="30">
        <v>106814.15022205297</v>
      </c>
      <c r="HS76" s="30">
        <f t="shared" si="48"/>
        <v>-38.137232593432039</v>
      </c>
      <c r="HT76" s="30">
        <f t="shared" si="49"/>
        <v>-38.137768574301404</v>
      </c>
      <c r="HU76" s="30">
        <f t="shared" si="50"/>
        <v>-5.3598086936545997E-4</v>
      </c>
      <c r="HV76" s="30">
        <f t="shared" si="8"/>
        <v>-18.199645680980712</v>
      </c>
      <c r="HW76" s="30">
        <f t="shared" si="9"/>
        <v>-18.224595227587624</v>
      </c>
      <c r="HX76" s="73">
        <f t="shared" si="10"/>
        <v>-9.6917141161156906E-4</v>
      </c>
      <c r="HY76" s="30">
        <f t="shared" si="51"/>
        <v>-5.8674581120520486E-2</v>
      </c>
      <c r="HZ76" s="74">
        <f t="shared" si="52"/>
        <v>2.4949546606912065E-2</v>
      </c>
    </row>
    <row r="77" spans="5:234" ht="15" customHeight="1">
      <c r="G77" s="30" t="s">
        <v>270</v>
      </c>
      <c r="I77" s="30" t="s">
        <v>271</v>
      </c>
      <c r="FT77" s="29">
        <v>20000</v>
      </c>
      <c r="FU77" s="27">
        <f t="shared" si="12"/>
        <v>125663.70614359173</v>
      </c>
      <c r="FV77" s="30">
        <f t="shared" si="53"/>
        <v>490.89868947471217</v>
      </c>
      <c r="FW77" s="30">
        <f t="shared" si="13"/>
        <v>2.2314257799912638</v>
      </c>
      <c r="FX77" s="34">
        <f t="shared" si="14"/>
        <v>490.90376102552068</v>
      </c>
      <c r="FY77" s="30">
        <f t="shared" si="15"/>
        <v>5.2007171893540052E-3</v>
      </c>
      <c r="FZ77" s="30">
        <f t="shared" si="16"/>
        <v>-1.1157128899956319</v>
      </c>
      <c r="GA77" s="34">
        <f t="shared" si="17"/>
        <v>1.1157250110854773</v>
      </c>
      <c r="GB77" s="34">
        <f t="shared" si="18"/>
        <v>574.04690835096346</v>
      </c>
      <c r="GC77" s="34">
        <f t="shared" si="19"/>
        <v>121.79358980298774</v>
      </c>
      <c r="GD77" s="34">
        <f t="shared" si="20"/>
        <v>586.82495814714446</v>
      </c>
      <c r="GE77" s="55">
        <f t="shared" si="21"/>
        <v>12.976545824518251</v>
      </c>
      <c r="GF77" s="55">
        <f t="shared" si="22"/>
        <v>-60.89679490149387</v>
      </c>
      <c r="GG77" s="34">
        <f t="shared" si="23"/>
        <v>62.264037540224066</v>
      </c>
      <c r="GH77" s="30">
        <f t="shared" si="24"/>
        <v>121.21732195709008</v>
      </c>
      <c r="GI77" s="30">
        <f t="shared" si="0"/>
        <v>-2.7824313222073331</v>
      </c>
      <c r="GJ77" s="34">
        <f t="shared" si="25"/>
        <v>121.24925181835818</v>
      </c>
      <c r="GK77" s="34">
        <f t="shared" si="26"/>
        <v>12.976545824518251</v>
      </c>
      <c r="GL77" s="34">
        <f t="shared" si="27"/>
        <v>-124.55877213825201</v>
      </c>
      <c r="GM77" s="34">
        <f t="shared" si="28"/>
        <v>125.23289686869344</v>
      </c>
      <c r="GN77" s="55">
        <f t="shared" si="1"/>
        <v>1174.0469083509633</v>
      </c>
      <c r="GO77" s="55">
        <f t="shared" si="2"/>
        <v>121.79358980298774</v>
      </c>
      <c r="GP77" s="34">
        <f t="shared" si="29"/>
        <v>1180.347330884242</v>
      </c>
      <c r="GQ77" s="55">
        <f t="shared" si="30"/>
        <v>25.89868574699122</v>
      </c>
      <c r="GR77" s="55">
        <f t="shared" si="31"/>
        <v>-121.80531575915019</v>
      </c>
      <c r="GS77" s="34">
        <f t="shared" si="32"/>
        <v>124.52821716626191</v>
      </c>
      <c r="GT77" s="56">
        <f t="shared" si="33"/>
        <v>1090.8442835726669</v>
      </c>
      <c r="GU77" s="56">
        <f t="shared" si="33"/>
        <v>2.2196998238288188</v>
      </c>
      <c r="GV77" s="34">
        <f t="shared" si="34"/>
        <v>1090.8465419436745</v>
      </c>
      <c r="GW77" s="30">
        <f t="shared" si="35"/>
        <v>109.10060514424717</v>
      </c>
      <c r="GX77" s="30">
        <f t="shared" si="3"/>
        <v>-2.2315193177670745</v>
      </c>
      <c r="GY77" s="34">
        <f t="shared" si="36"/>
        <v>109.12342425577792</v>
      </c>
      <c r="GZ77" s="34">
        <f t="shared" si="56"/>
        <v>599.99929461895931</v>
      </c>
      <c r="HA77" s="34">
        <f t="shared" si="56"/>
        <v>-9.3537775810670354E-5</v>
      </c>
      <c r="HB77" s="34">
        <f t="shared" si="37"/>
        <v>599.99929461896659</v>
      </c>
      <c r="HC77" s="33">
        <f t="shared" si="5"/>
        <v>0.1818345562579651</v>
      </c>
      <c r="HD77" s="33">
        <f t="shared" si="6"/>
        <v>-3.7191748880042834E-3</v>
      </c>
      <c r="HE77" s="33">
        <f t="shared" si="57"/>
        <v>0.18187258757541952</v>
      </c>
      <c r="HF77" s="33">
        <f t="shared" si="39"/>
        <v>0.10000125823460979</v>
      </c>
      <c r="HG77" s="33">
        <f t="shared" si="7"/>
        <v>-2.2509239714926534E-3</v>
      </c>
      <c r="HH77" s="33">
        <f t="shared" si="40"/>
        <v>0.10002658800154363</v>
      </c>
      <c r="HI77" s="30">
        <f t="shared" si="54"/>
        <v>3.8602931489146782E-3</v>
      </c>
      <c r="HJ77" s="30">
        <f t="shared" si="41"/>
        <v>-2.0400075711749458E-2</v>
      </c>
      <c r="HK77" s="33">
        <f t="shared" si="42"/>
        <v>2.0762103752767151E-2</v>
      </c>
      <c r="HL77" s="61">
        <f t="shared" si="43"/>
        <v>8.8179916133389053E-4</v>
      </c>
      <c r="HM77" s="61">
        <f t="shared" si="44"/>
        <v>-1.0516992825897135E-2</v>
      </c>
      <c r="HN77" s="33">
        <f t="shared" si="45"/>
        <v>1.0553895388002525E-2</v>
      </c>
      <c r="HO77" s="30">
        <f t="shared" si="46"/>
        <v>-19.997690902486795</v>
      </c>
      <c r="HP77" s="30">
        <f t="shared" si="47"/>
        <v>19.533664443215137</v>
      </c>
      <c r="HQ77" s="29">
        <v>20000</v>
      </c>
      <c r="HR77" s="30">
        <v>125663.70614359173</v>
      </c>
      <c r="HS77" s="30">
        <f t="shared" si="48"/>
        <v>-39.531355345701932</v>
      </c>
      <c r="HT77" s="30">
        <f t="shared" si="49"/>
        <v>-39.531744298759499</v>
      </c>
      <c r="HU77" s="30">
        <f t="shared" si="50"/>
        <v>-3.8895305756625476E-4</v>
      </c>
      <c r="HV77" s="30">
        <f t="shared" si="8"/>
        <v>-19.593621405438807</v>
      </c>
      <c r="HW77" s="30">
        <f t="shared" si="9"/>
        <v>-19.618717979857518</v>
      </c>
      <c r="HX77" s="73">
        <f t="shared" si="10"/>
        <v>-7.0538103341277747E-4</v>
      </c>
      <c r="HY77" s="30">
        <f t="shared" si="51"/>
        <v>-5.9568009166103053E-2</v>
      </c>
      <c r="HZ77" s="74">
        <f t="shared" si="52"/>
        <v>2.509657441871127E-2</v>
      </c>
    </row>
    <row r="78" spans="5:234" ht="15" customHeight="1">
      <c r="I78" s="104">
        <f>I76*AJ34^2/1000000</f>
        <v>4.4999999999999998E-2</v>
      </c>
      <c r="J78" s="104"/>
      <c r="K78" s="104"/>
      <c r="L78" s="104"/>
      <c r="N78" s="30" t="s">
        <v>46</v>
      </c>
      <c r="FT78" s="29">
        <v>25000</v>
      </c>
      <c r="FU78" s="27">
        <f t="shared" si="12"/>
        <v>157079.63267948964</v>
      </c>
      <c r="FV78" s="30">
        <f t="shared" si="53"/>
        <v>490.90243393901807</v>
      </c>
      <c r="FW78" s="30">
        <f t="shared" si="13"/>
        <v>1.7851545873701886</v>
      </c>
      <c r="FX78" s="34">
        <f t="shared" si="14"/>
        <v>490.90567976359046</v>
      </c>
      <c r="FY78" s="30">
        <f t="shared" si="15"/>
        <v>3.3284850364063267E-3</v>
      </c>
      <c r="FZ78" s="30">
        <f t="shared" si="16"/>
        <v>-0.89257729368509431</v>
      </c>
      <c r="GA78" s="34">
        <f t="shared" si="17"/>
        <v>0.89258349974377449</v>
      </c>
      <c r="GB78" s="34">
        <f t="shared" si="18"/>
        <v>583.12616968568443</v>
      </c>
      <c r="GC78" s="34">
        <f t="shared" si="19"/>
        <v>98.982637381819501</v>
      </c>
      <c r="GD78" s="34">
        <f t="shared" si="20"/>
        <v>591.46740592813603</v>
      </c>
      <c r="GE78" s="55">
        <f t="shared" si="21"/>
        <v>8.4369151571577703</v>
      </c>
      <c r="GF78" s="55">
        <f t="shared" si="22"/>
        <v>-49.49131869090975</v>
      </c>
      <c r="GG78" s="34">
        <f t="shared" si="23"/>
        <v>50.205300149827522</v>
      </c>
      <c r="GH78" s="30">
        <f t="shared" si="24"/>
        <v>121.21544971493651</v>
      </c>
      <c r="GI78" s="30">
        <f t="shared" si="0"/>
        <v>-2.2259520394544552</v>
      </c>
      <c r="GJ78" s="34">
        <f t="shared" si="25"/>
        <v>121.23588623867214</v>
      </c>
      <c r="GK78" s="34">
        <f t="shared" si="26"/>
        <v>8.4369151571577703</v>
      </c>
      <c r="GL78" s="34">
        <f t="shared" si="27"/>
        <v>-100.42090048031628</v>
      </c>
      <c r="GM78" s="34">
        <f t="shared" si="28"/>
        <v>100.77469320542069</v>
      </c>
      <c r="GN78" s="55">
        <f t="shared" si="1"/>
        <v>1183.1261696856845</v>
      </c>
      <c r="GO78" s="55">
        <f t="shared" si="2"/>
        <v>98.982637381819501</v>
      </c>
      <c r="GP78" s="34">
        <f t="shared" si="29"/>
        <v>1187.2594897065173</v>
      </c>
      <c r="GQ78" s="55">
        <f t="shared" si="30"/>
        <v>16.838581798132942</v>
      </c>
      <c r="GR78" s="55">
        <f t="shared" si="31"/>
        <v>-98.988690080783556</v>
      </c>
      <c r="GS78" s="34">
        <f t="shared" si="32"/>
        <v>100.41064983796207</v>
      </c>
      <c r="GT78" s="56">
        <f t="shared" si="33"/>
        <v>1090.8671854228355</v>
      </c>
      <c r="GU78" s="56">
        <f t="shared" si="33"/>
        <v>1.7791018884061316</v>
      </c>
      <c r="GV78" s="34">
        <f t="shared" si="34"/>
        <v>1090.8686361958842</v>
      </c>
      <c r="GW78" s="30">
        <f t="shared" si="35"/>
        <v>109.09711148439375</v>
      </c>
      <c r="GX78" s="30">
        <f t="shared" si="3"/>
        <v>-1.7852028213260984</v>
      </c>
      <c r="GY78" s="34">
        <f t="shared" si="36"/>
        <v>109.11171652646433</v>
      </c>
      <c r="GZ78" s="34">
        <f t="shared" si="56"/>
        <v>599.99954542341186</v>
      </c>
      <c r="HA78" s="34">
        <f t="shared" si="56"/>
        <v>-4.8233955909804394E-5</v>
      </c>
      <c r="HB78" s="34">
        <f t="shared" si="37"/>
        <v>599.99954542341379</v>
      </c>
      <c r="HC78" s="33">
        <f t="shared" si="5"/>
        <v>0.1818286571382601</v>
      </c>
      <c r="HD78" s="33">
        <f t="shared" si="6"/>
        <v>-2.9753256725400996E-3</v>
      </c>
      <c r="HE78" s="33">
        <f t="shared" si="57"/>
        <v>0.18185299865429941</v>
      </c>
      <c r="HF78" s="33">
        <f t="shared" si="39"/>
        <v>0.10000077486488129</v>
      </c>
      <c r="HG78" s="33">
        <f t="shared" si="7"/>
        <v>-1.800496591596082E-3</v>
      </c>
      <c r="HH78" s="33">
        <f t="shared" si="40"/>
        <v>0.10001698236576138</v>
      </c>
      <c r="HI78" s="30">
        <f t="shared" si="54"/>
        <v>2.5097184377713896E-3</v>
      </c>
      <c r="HJ78" s="30">
        <f t="shared" si="41"/>
        <v>-1.6549719470928662E-2</v>
      </c>
      <c r="HK78" s="33">
        <f t="shared" si="42"/>
        <v>1.6738933693737034E-2</v>
      </c>
      <c r="HL78" s="61">
        <f t="shared" si="43"/>
        <v>5.6662574752608971E-4</v>
      </c>
      <c r="HM78" s="61">
        <f t="shared" si="44"/>
        <v>-8.4402813912134861E-3</v>
      </c>
      <c r="HN78" s="33">
        <f t="shared" si="45"/>
        <v>8.459279797986597E-3</v>
      </c>
      <c r="HO78" s="30">
        <f t="shared" si="46"/>
        <v>-19.998525055688706</v>
      </c>
      <c r="HP78" s="30">
        <f t="shared" si="47"/>
        <v>21.454557184669707</v>
      </c>
      <c r="HQ78" s="29">
        <v>25000</v>
      </c>
      <c r="HR78" s="30">
        <v>157079.63267948964</v>
      </c>
      <c r="HS78" s="30">
        <f t="shared" si="48"/>
        <v>-41.453082240358412</v>
      </c>
      <c r="HT78" s="30">
        <f t="shared" si="49"/>
        <v>-41.453332202752726</v>
      </c>
      <c r="HU78" s="30">
        <f t="shared" si="50"/>
        <v>-2.4996239431374079E-4</v>
      </c>
      <c r="HV78" s="30">
        <f t="shared" si="8"/>
        <v>-21.515209309432034</v>
      </c>
      <c r="HW78" s="30">
        <f t="shared" si="9"/>
        <v>-21.540444874513998</v>
      </c>
      <c r="HX78" s="73">
        <f t="shared" si="10"/>
        <v>-4.5457658620762231E-4</v>
      </c>
      <c r="HY78" s="30">
        <f t="shared" si="51"/>
        <v>-6.040216236801399E-2</v>
      </c>
      <c r="HZ78" s="74">
        <f t="shared" si="52"/>
        <v>2.5235565081963784E-2</v>
      </c>
    </row>
    <row r="79" spans="5:234" ht="15" customHeight="1">
      <c r="FT79" s="29">
        <v>30000</v>
      </c>
      <c r="FU79" s="27">
        <f t="shared" si="12"/>
        <v>188495.55921538759</v>
      </c>
      <c r="FV79" s="30">
        <f t="shared" si="53"/>
        <v>490.90446799356431</v>
      </c>
      <c r="FW79" s="30">
        <f t="shared" si="13"/>
        <v>1.4876351437551174</v>
      </c>
      <c r="FX79" s="34">
        <f t="shared" si="14"/>
        <v>490.90672205049844</v>
      </c>
      <c r="FY79" s="30">
        <f t="shared" si="15"/>
        <v>2.3114577633094129E-3</v>
      </c>
      <c r="FZ79" s="30">
        <f t="shared" si="16"/>
        <v>-0.7438175718775587</v>
      </c>
      <c r="GA79" s="34">
        <f t="shared" si="17"/>
        <v>0.74382116336577764</v>
      </c>
      <c r="GB79" s="34">
        <f t="shared" si="18"/>
        <v>588.1800685764764</v>
      </c>
      <c r="GC79" s="34">
        <f t="shared" si="19"/>
        <v>83.203490672537853</v>
      </c>
      <c r="GD79" s="34">
        <f t="shared" si="20"/>
        <v>594.0358692290589</v>
      </c>
      <c r="GE79" s="55">
        <f t="shared" si="21"/>
        <v>5.9099657117618305</v>
      </c>
      <c r="GF79" s="55">
        <f t="shared" si="22"/>
        <v>-41.601745336268927</v>
      </c>
      <c r="GG79" s="34">
        <f t="shared" si="23"/>
        <v>42.019434905029051</v>
      </c>
      <c r="GH79" s="30">
        <f t="shared" si="24"/>
        <v>121.21443268223098</v>
      </c>
      <c r="GI79" s="30">
        <f t="shared" si="0"/>
        <v>-1.8549631933520261</v>
      </c>
      <c r="GJ79" s="34">
        <f t="shared" si="25"/>
        <v>121.2286252455409</v>
      </c>
      <c r="GK79" s="34">
        <f t="shared" si="26"/>
        <v>5.9099657117618305</v>
      </c>
      <c r="GL79" s="34">
        <f t="shared" si="27"/>
        <v>-84.043063494107685</v>
      </c>
      <c r="GM79" s="34">
        <f t="shared" si="28"/>
        <v>84.250603654744324</v>
      </c>
      <c r="GN79" s="55">
        <f t="shared" si="1"/>
        <v>1188.1800685764765</v>
      </c>
      <c r="GO79" s="55">
        <f t="shared" si="2"/>
        <v>83.203490672537853</v>
      </c>
      <c r="GP79" s="34">
        <f t="shared" si="29"/>
        <v>1191.0897095611629</v>
      </c>
      <c r="GQ79" s="55">
        <f t="shared" si="30"/>
        <v>11.795289846698198</v>
      </c>
      <c r="GR79" s="55">
        <f t="shared" si="31"/>
        <v>-83.207008944914421</v>
      </c>
      <c r="GS79" s="34">
        <f t="shared" si="32"/>
        <v>84.038890997720159</v>
      </c>
      <c r="GT79" s="56">
        <f t="shared" si="33"/>
        <v>1090.8798264167388</v>
      </c>
      <c r="GU79" s="56">
        <f t="shared" si="33"/>
        <v>1.4841168713785464</v>
      </c>
      <c r="GV79" s="34">
        <f t="shared" si="34"/>
        <v>1090.8808359696773</v>
      </c>
      <c r="GW79" s="30">
        <f t="shared" si="35"/>
        <v>109.09521513490051</v>
      </c>
      <c r="GX79" s="30">
        <f t="shared" si="3"/>
        <v>-1.4876631656004755</v>
      </c>
      <c r="GY79" s="34">
        <f t="shared" si="36"/>
        <v>109.10535782913922</v>
      </c>
      <c r="GZ79" s="34">
        <f t="shared" si="56"/>
        <v>599.99968312846477</v>
      </c>
      <c r="HA79" s="34">
        <f t="shared" si="56"/>
        <v>-2.8021845358106034E-5</v>
      </c>
      <c r="HB79" s="34">
        <f t="shared" si="37"/>
        <v>599.99968312846545</v>
      </c>
      <c r="HC79" s="33">
        <f t="shared" si="5"/>
        <v>0.18182545469948291</v>
      </c>
      <c r="HD79" s="33">
        <f t="shared" si="6"/>
        <v>-2.4794314269615744E-3</v>
      </c>
      <c r="HE79" s="33">
        <f t="shared" si="57"/>
        <v>0.18184235908301102</v>
      </c>
      <c r="HF79" s="33">
        <f t="shared" si="39"/>
        <v>0.10000052651469042</v>
      </c>
      <c r="HG79" s="33">
        <f t="shared" si="7"/>
        <v>-1.5003026909707793E-3</v>
      </c>
      <c r="HH79" s="33">
        <f t="shared" si="40"/>
        <v>0.10001178036301442</v>
      </c>
      <c r="HI79" s="30">
        <f t="shared" si="54"/>
        <v>1.7579861866745014E-3</v>
      </c>
      <c r="HJ79" s="30">
        <f t="shared" si="41"/>
        <v>-1.3897962486563118E-2</v>
      </c>
      <c r="HK79" s="33">
        <f t="shared" si="42"/>
        <v>1.400870717484144E-2</v>
      </c>
      <c r="HL79" s="61">
        <f t="shared" si="43"/>
        <v>3.9435341157085808E-4</v>
      </c>
      <c r="HM79" s="61">
        <f t="shared" si="44"/>
        <v>-7.0457242077532432E-3</v>
      </c>
      <c r="HN79" s="33">
        <f t="shared" si="45"/>
        <v>7.0567516765816301E-3</v>
      </c>
      <c r="HO79" s="30">
        <f t="shared" si="46"/>
        <v>-19.998976830934936</v>
      </c>
      <c r="HP79" s="30">
        <f t="shared" si="47"/>
        <v>23.02875249005028</v>
      </c>
      <c r="HQ79" s="29">
        <v>30000</v>
      </c>
      <c r="HR79" s="30">
        <v>188495.55921538759</v>
      </c>
      <c r="HS79" s="30">
        <f t="shared" si="48"/>
        <v>-43.027729320985216</v>
      </c>
      <c r="HT79" s="30">
        <f t="shared" si="49"/>
        <v>-43.027903297874829</v>
      </c>
      <c r="HU79" s="30">
        <f t="shared" si="50"/>
        <v>-1.7397688961295898E-4</v>
      </c>
      <c r="HV79" s="30">
        <f t="shared" si="8"/>
        <v>-23.089780404554137</v>
      </c>
      <c r="HW79" s="30">
        <f t="shared" si="9"/>
        <v>-23.115091955140802</v>
      </c>
      <c r="HX79" s="73">
        <f t="shared" si="10"/>
        <v>-3.168715345509554E-4</v>
      </c>
      <c r="HY79" s="30">
        <f t="shared" si="51"/>
        <v>-6.0853937614243847E-2</v>
      </c>
      <c r="HZ79" s="74">
        <f t="shared" si="52"/>
        <v>2.5311550586664566E-2</v>
      </c>
    </row>
    <row r="80" spans="5:234" ht="15" customHeight="1">
      <c r="FT80" s="29">
        <v>40000</v>
      </c>
      <c r="FU80" s="27">
        <f t="shared" si="12"/>
        <v>251327.41228718346</v>
      </c>
      <c r="FV80" s="30">
        <f t="shared" si="53"/>
        <v>490.90649050812095</v>
      </c>
      <c r="FW80" s="30">
        <f t="shared" si="13"/>
        <v>1.1157310716303999</v>
      </c>
      <c r="FX80" s="34">
        <f t="shared" si="14"/>
        <v>490.9077584219097</v>
      </c>
      <c r="FY80" s="30">
        <f t="shared" si="15"/>
        <v>1.3002004850341251E-3</v>
      </c>
      <c r="FZ80" s="30">
        <f t="shared" si="16"/>
        <v>-0.55786553581519993</v>
      </c>
      <c r="GA80" s="34">
        <f t="shared" si="17"/>
        <v>0.55786705098229394</v>
      </c>
      <c r="GB80" s="34">
        <f t="shared" si="18"/>
        <v>593.29324421018316</v>
      </c>
      <c r="GC80" s="34">
        <f t="shared" si="19"/>
        <v>62.947403309007171</v>
      </c>
      <c r="GD80" s="34">
        <f t="shared" si="20"/>
        <v>596.62320538912229</v>
      </c>
      <c r="GE80" s="55">
        <f t="shared" si="21"/>
        <v>3.3533778949084119</v>
      </c>
      <c r="GF80" s="55">
        <f t="shared" si="22"/>
        <v>-31.473701654503586</v>
      </c>
      <c r="GG80" s="34">
        <f t="shared" si="23"/>
        <v>31.651841007163583</v>
      </c>
      <c r="GH80" s="30">
        <f t="shared" si="24"/>
        <v>121.21342141955112</v>
      </c>
      <c r="GI80" s="30">
        <f t="shared" si="0"/>
        <v>-1.3912247519210508</v>
      </c>
      <c r="GJ80" s="34">
        <f t="shared" si="25"/>
        <v>121.22140503452373</v>
      </c>
      <c r="GK80" s="34">
        <f t="shared" si="26"/>
        <v>3.3533778949084119</v>
      </c>
      <c r="GL80" s="34">
        <f t="shared" si="27"/>
        <v>-63.304690272882652</v>
      </c>
      <c r="GM80" s="34">
        <f t="shared" si="28"/>
        <v>63.393445669498547</v>
      </c>
      <c r="GN80" s="55">
        <f t="shared" si="1"/>
        <v>1193.2932442101833</v>
      </c>
      <c r="GO80" s="55">
        <f t="shared" si="2"/>
        <v>62.947403309007171</v>
      </c>
      <c r="GP80" s="34">
        <f t="shared" si="29"/>
        <v>1194.9523598290482</v>
      </c>
      <c r="GQ80" s="55">
        <f t="shared" si="30"/>
        <v>6.6928028112571738</v>
      </c>
      <c r="GR80" s="55">
        <f t="shared" si="31"/>
        <v>-62.948894147999361</v>
      </c>
      <c r="GS80" s="34">
        <f t="shared" si="32"/>
        <v>63.30368775929567</v>
      </c>
      <c r="GT80" s="56">
        <f t="shared" si="33"/>
        <v>1090.8925375295614</v>
      </c>
      <c r="GU80" s="56">
        <f t="shared" si="33"/>
        <v>1.1142402326382168</v>
      </c>
      <c r="GV80" s="34">
        <f t="shared" si="34"/>
        <v>1090.8931065732249</v>
      </c>
      <c r="GW80" s="30">
        <f t="shared" si="35"/>
        <v>109.09333057959051</v>
      </c>
      <c r="GX80" s="30">
        <f t="shared" si="3"/>
        <v>-1.1157429392234519</v>
      </c>
      <c r="GY80" s="34">
        <f t="shared" si="36"/>
        <v>109.09903601432163</v>
      </c>
      <c r="GZ80" s="34">
        <f t="shared" si="56"/>
        <v>599.99982108771144</v>
      </c>
      <c r="HA80" s="34">
        <f t="shared" si="56"/>
        <v>-1.1867593052050651E-5</v>
      </c>
      <c r="HB80" s="34">
        <f t="shared" si="37"/>
        <v>599.99982108771155</v>
      </c>
      <c r="HC80" s="33">
        <f t="shared" si="5"/>
        <v>0.18182227188649652</v>
      </c>
      <c r="HD80" s="33">
        <f t="shared" si="6"/>
        <v>-1.8595685235506365E-3</v>
      </c>
      <c r="HE80" s="33">
        <f t="shared" si="57"/>
        <v>0.18183178091043611</v>
      </c>
      <c r="HF80" s="33">
        <f t="shared" si="39"/>
        <v>0.10000028963831456</v>
      </c>
      <c r="HG80" s="33">
        <f t="shared" si="7"/>
        <v>-1.1251434390717357E-3</v>
      </c>
      <c r="HH80" s="33">
        <f t="shared" si="40"/>
        <v>0.10000661915846015</v>
      </c>
      <c r="HI80" s="30">
        <f t="shared" si="54"/>
        <v>9.9747543725248861E-4</v>
      </c>
      <c r="HJ80" s="30">
        <f t="shared" si="41"/>
        <v>-1.0504305149421475E-2</v>
      </c>
      <c r="HK80" s="33">
        <f t="shared" si="42"/>
        <v>1.0551558364530074E-2</v>
      </c>
      <c r="HL80" s="61">
        <f t="shared" si="43"/>
        <v>2.2230877769315865E-4</v>
      </c>
      <c r="HM80" s="61">
        <f t="shared" si="44"/>
        <v>-5.2933986516636019E-3</v>
      </c>
      <c r="HN80" s="33">
        <f t="shared" si="45"/>
        <v>5.2980647861340336E-3</v>
      </c>
      <c r="HO80" s="30">
        <f t="shared" si="46"/>
        <v>-19.9994250862282</v>
      </c>
      <c r="HP80" s="30">
        <f t="shared" si="47"/>
        <v>25.518131538398563</v>
      </c>
      <c r="HQ80" s="29">
        <v>40000</v>
      </c>
      <c r="HR80" s="30">
        <v>251327.41228718346</v>
      </c>
      <c r="HS80" s="30">
        <f t="shared" si="48"/>
        <v>-45.517556624626764</v>
      </c>
      <c r="HT80" s="30">
        <f t="shared" si="49"/>
        <v>-45.517654706776192</v>
      </c>
      <c r="HU80" s="30">
        <f t="shared" si="50"/>
        <v>-9.8082149428080356E-5</v>
      </c>
      <c r="HV80" s="30">
        <f t="shared" si="8"/>
        <v>-25.5795318134555</v>
      </c>
      <c r="HW80" s="30">
        <f t="shared" si="9"/>
        <v>-25.604919258782349</v>
      </c>
      <c r="HX80" s="73">
        <f t="shared" si="10"/>
        <v>-1.7891228844746365E-4</v>
      </c>
      <c r="HY80" s="30">
        <f t="shared" si="51"/>
        <v>-6.1302192907508157E-2</v>
      </c>
      <c r="HZ80" s="74">
        <f t="shared" si="52"/>
        <v>2.5387445326849445E-2</v>
      </c>
    </row>
    <row r="81" spans="176:234" ht="15" customHeight="1">
      <c r="FT81" s="29">
        <v>50000</v>
      </c>
      <c r="FU81" s="27">
        <f t="shared" si="12"/>
        <v>314159.26535897929</v>
      </c>
      <c r="FV81" s="30">
        <f t="shared" si="53"/>
        <v>490.90742664921555</v>
      </c>
      <c r="FW81" s="30">
        <f t="shared" si="13"/>
        <v>0.89258660277311452</v>
      </c>
      <c r="FX81" s="34">
        <f t="shared" si="14"/>
        <v>490.90823811604383</v>
      </c>
      <c r="FY81" s="30">
        <f t="shared" si="15"/>
        <v>8.3212993766656335E-4</v>
      </c>
      <c r="FZ81" s="30">
        <f t="shared" si="16"/>
        <v>-0.44629330138655726</v>
      </c>
      <c r="GA81" s="34">
        <f t="shared" si="17"/>
        <v>0.44629407715400571</v>
      </c>
      <c r="GB81" s="34">
        <f t="shared" si="18"/>
        <v>595.69026141508243</v>
      </c>
      <c r="GC81" s="34">
        <f t="shared" si="19"/>
        <v>50.562235558266821</v>
      </c>
      <c r="GD81" s="34">
        <f t="shared" si="20"/>
        <v>597.83227347594652</v>
      </c>
      <c r="GE81" s="55">
        <f t="shared" si="21"/>
        <v>2.1548692924587405</v>
      </c>
      <c r="GF81" s="55">
        <f t="shared" si="22"/>
        <v>-25.28111777913341</v>
      </c>
      <c r="GG81" s="34">
        <f t="shared" si="23"/>
        <v>25.372788136702617</v>
      </c>
      <c r="GH81" s="30">
        <f t="shared" si="24"/>
        <v>121.2129533465036</v>
      </c>
      <c r="GI81" s="30">
        <f t="shared" si="0"/>
        <v>-1.1129806742712378</v>
      </c>
      <c r="GJ81" s="34">
        <f t="shared" si="25"/>
        <v>121.21806294840286</v>
      </c>
      <c r="GK81" s="34">
        <f t="shared" si="26"/>
        <v>2.1548692924587405</v>
      </c>
      <c r="GL81" s="34">
        <f t="shared" si="27"/>
        <v>-50.745908673836666</v>
      </c>
      <c r="GM81" s="34">
        <f t="shared" si="28"/>
        <v>50.79164014678944</v>
      </c>
      <c r="GN81" s="55">
        <f t="shared" si="1"/>
        <v>1195.6902614150824</v>
      </c>
      <c r="GO81" s="55">
        <f t="shared" si="2"/>
        <v>50.562235558266821</v>
      </c>
      <c r="GP81" s="34">
        <f t="shared" si="29"/>
        <v>1196.758848267903</v>
      </c>
      <c r="GQ81" s="55">
        <f t="shared" si="30"/>
        <v>4.3007812507273426</v>
      </c>
      <c r="GR81" s="55">
        <f t="shared" si="31"/>
        <v>-50.563000431897223</v>
      </c>
      <c r="GS81" s="34">
        <f t="shared" si="32"/>
        <v>50.745578448202231</v>
      </c>
      <c r="GT81" s="56">
        <f t="shared" si="33"/>
        <v>1090.8984693150253</v>
      </c>
      <c r="GU81" s="56">
        <f t="shared" si="33"/>
        <v>0.89182172914271263</v>
      </c>
      <c r="GV81" s="34">
        <f t="shared" si="34"/>
        <v>1090.8988338520955</v>
      </c>
      <c r="GW81" s="30">
        <f t="shared" si="35"/>
        <v>109.0924586468369</v>
      </c>
      <c r="GX81" s="30">
        <f t="shared" si="3"/>
        <v>-0.89259268990325258</v>
      </c>
      <c r="GY81" s="34">
        <f t="shared" si="36"/>
        <v>109.09611017502819</v>
      </c>
      <c r="GZ81" s="34">
        <f t="shared" si="56"/>
        <v>599.99988529605241</v>
      </c>
      <c r="HA81" s="34">
        <f t="shared" si="56"/>
        <v>-6.0871301380549525E-6</v>
      </c>
      <c r="HB81" s="34">
        <f t="shared" si="37"/>
        <v>599.99988529605253</v>
      </c>
      <c r="HC81" s="33">
        <f t="shared" si="5"/>
        <v>0.18182079918575975</v>
      </c>
      <c r="HD81" s="33">
        <f t="shared" si="6"/>
        <v>-1.4876529229600813E-3</v>
      </c>
      <c r="HE81" s="33">
        <f t="shared" si="57"/>
        <v>0.18182688505214945</v>
      </c>
      <c r="HF81" s="33">
        <f t="shared" si="39"/>
        <v>0.10000018342522975</v>
      </c>
      <c r="HG81" s="33">
        <f t="shared" si="7"/>
        <v>-9.000836121988748E-4</v>
      </c>
      <c r="HH81" s="33">
        <f t="shared" si="40"/>
        <v>0.10000423408830519</v>
      </c>
      <c r="HI81" s="30">
        <f t="shared" si="54"/>
        <v>6.4096696331228495E-4</v>
      </c>
      <c r="HJ81" s="30">
        <f t="shared" si="41"/>
        <v>-8.4337590569712496E-3</v>
      </c>
      <c r="HK81" s="33">
        <f t="shared" si="42"/>
        <v>8.4580807798875016E-3</v>
      </c>
      <c r="HL81" s="61">
        <f t="shared" si="43"/>
        <v>1.4242174675962728E-4</v>
      </c>
      <c r="HM81" s="61">
        <f t="shared" si="44"/>
        <v>-4.2381014210935925E-3</v>
      </c>
      <c r="HN81" s="33">
        <f t="shared" si="45"/>
        <v>4.2404937931124946E-3</v>
      </c>
      <c r="HO81" s="30">
        <f t="shared" si="46"/>
        <v>-19.999632239548227</v>
      </c>
      <c r="HP81" s="30">
        <f t="shared" si="47"/>
        <v>27.451976285233421</v>
      </c>
      <c r="HQ81" s="29">
        <v>50000</v>
      </c>
      <c r="HR81" s="30">
        <v>314159.26535897929</v>
      </c>
      <c r="HS81" s="30">
        <f t="shared" si="48"/>
        <v>-47.451608524781648</v>
      </c>
      <c r="HT81" s="30">
        <f t="shared" si="49"/>
        <v>-47.45167136278053</v>
      </c>
      <c r="HU81" s="30">
        <f t="shared" si="50"/>
        <v>-6.2837998882514512E-5</v>
      </c>
      <c r="HV81" s="30">
        <f t="shared" si="8"/>
        <v>-27.513548469459838</v>
      </c>
      <c r="HW81" s="30">
        <f t="shared" si="9"/>
        <v>-27.538971158937233</v>
      </c>
      <c r="HX81" s="73">
        <f t="shared" si="10"/>
        <v>-1.1470394747448154E-4</v>
      </c>
      <c r="HY81" s="30">
        <f t="shared" si="51"/>
        <v>-6.1509346227534678E-2</v>
      </c>
      <c r="HZ81" s="74">
        <f t="shared" si="52"/>
        <v>2.5422689477395011E-2</v>
      </c>
    </row>
    <row r="82" spans="176:234" ht="15" customHeight="1">
      <c r="FT82" s="29">
        <v>60000</v>
      </c>
      <c r="FU82" s="27">
        <f t="shared" si="12"/>
        <v>376991.11843077518</v>
      </c>
      <c r="FV82" s="30">
        <f t="shared" si="53"/>
        <v>490.90793517183869</v>
      </c>
      <c r="FW82" s="30">
        <f t="shared" si="13"/>
        <v>0.74382295910988694</v>
      </c>
      <c r="FX82" s="34">
        <f t="shared" si="14"/>
        <v>490.90849869122525</v>
      </c>
      <c r="FY82" s="30">
        <f t="shared" si="15"/>
        <v>5.7786862611433046E-4</v>
      </c>
      <c r="FZ82" s="30">
        <f t="shared" si="16"/>
        <v>-0.37191147955494347</v>
      </c>
      <c r="GA82" s="34">
        <f t="shared" si="17"/>
        <v>0.37191192849503524</v>
      </c>
      <c r="GB82" s="34">
        <f t="shared" si="18"/>
        <v>597.00051536099363</v>
      </c>
      <c r="GC82" s="34">
        <f t="shared" si="19"/>
        <v>42.228263979147485</v>
      </c>
      <c r="GD82" s="34">
        <f t="shared" si="20"/>
        <v>598.49213998179164</v>
      </c>
      <c r="GE82" s="55">
        <f t="shared" si="21"/>
        <v>1.4997423195031956</v>
      </c>
      <c r="GF82" s="55">
        <f t="shared" si="22"/>
        <v>-21.114131989573742</v>
      </c>
      <c r="GG82" s="34">
        <f t="shared" si="23"/>
        <v>21.167328520577417</v>
      </c>
      <c r="GH82" s="30">
        <f t="shared" si="24"/>
        <v>121.21269908383394</v>
      </c>
      <c r="GI82" s="30">
        <f t="shared" si="0"/>
        <v>-0.92748429029217716</v>
      </c>
      <c r="GJ82" s="34">
        <f t="shared" si="25"/>
        <v>121.21624745180333</v>
      </c>
      <c r="GK82" s="34">
        <f t="shared" si="26"/>
        <v>1.4997423195031956</v>
      </c>
      <c r="GL82" s="34">
        <f t="shared" si="27"/>
        <v>-42.334791068493118</v>
      </c>
      <c r="GM82" s="34">
        <f t="shared" si="28"/>
        <v>42.361347497900411</v>
      </c>
      <c r="GN82" s="55">
        <f t="shared" si="1"/>
        <v>1197.0005153609936</v>
      </c>
      <c r="GO82" s="55">
        <f t="shared" si="2"/>
        <v>42.228263979147485</v>
      </c>
      <c r="GP82" s="34">
        <f t="shared" si="29"/>
        <v>1197.7451565559247</v>
      </c>
      <c r="GQ82" s="55">
        <f t="shared" si="30"/>
        <v>2.9932538940744333</v>
      </c>
      <c r="GR82" s="55">
        <f t="shared" si="31"/>
        <v>-42.228707107199284</v>
      </c>
      <c r="GS82" s="34">
        <f t="shared" si="32"/>
        <v>42.334658057199604</v>
      </c>
      <c r="GT82" s="56">
        <f t="shared" si="33"/>
        <v>1090.9017044269069</v>
      </c>
      <c r="GU82" s="56">
        <f t="shared" si="33"/>
        <v>0.74337983105808547</v>
      </c>
      <c r="GV82" s="34">
        <f t="shared" si="34"/>
        <v>1090.9019577098136</v>
      </c>
      <c r="GW82" s="30">
        <f t="shared" si="35"/>
        <v>109.09198509697961</v>
      </c>
      <c r="GX82" s="30">
        <f t="shared" si="3"/>
        <v>-0.74382648519598982</v>
      </c>
      <c r="GY82" s="34">
        <f t="shared" si="36"/>
        <v>109.09452089926286</v>
      </c>
      <c r="GZ82" s="34">
        <f t="shared" si="56"/>
        <v>599.9999202688183</v>
      </c>
      <c r="HA82" s="34">
        <f t="shared" si="56"/>
        <v>-3.5260861028785229E-6</v>
      </c>
      <c r="HB82" s="34">
        <f t="shared" si="37"/>
        <v>599.9999202688183</v>
      </c>
      <c r="HC82" s="33">
        <f t="shared" si="5"/>
        <v>0.18181999933012391</v>
      </c>
      <c r="HD82" s="33">
        <f t="shared" si="6"/>
        <v>-1.2397099048775879E-3</v>
      </c>
      <c r="HE82" s="33">
        <f t="shared" si="57"/>
        <v>0.18182422566053874</v>
      </c>
      <c r="HF82" s="33">
        <f t="shared" si="39"/>
        <v>0.10000012664370585</v>
      </c>
      <c r="HG82" s="33">
        <f t="shared" si="7"/>
        <v>-7.5005553853494484E-4</v>
      </c>
      <c r="HH82" s="33">
        <f t="shared" si="40"/>
        <v>0.10000293951713667</v>
      </c>
      <c r="HI82" s="30">
        <f t="shared" si="54"/>
        <v>4.4609632137909076E-4</v>
      </c>
      <c r="HJ82" s="30">
        <f t="shared" si="41"/>
        <v>-7.0419414070738689E-3</v>
      </c>
      <c r="HK82" s="33">
        <f t="shared" si="42"/>
        <v>7.0560570227719572E-3</v>
      </c>
      <c r="HL82" s="61">
        <f t="shared" si="43"/>
        <v>9.8958446075325044E-5</v>
      </c>
      <c r="HM82" s="61">
        <f t="shared" si="44"/>
        <v>-3.5332847675112844E-3</v>
      </c>
      <c r="HN82" s="33">
        <f t="shared" si="45"/>
        <v>3.5346702848182195E-3</v>
      </c>
      <c r="HO82" s="30">
        <f t="shared" si="46"/>
        <v>-19.999744680538178</v>
      </c>
      <c r="HP82" s="30">
        <f t="shared" si="47"/>
        <v>29.033233479380442</v>
      </c>
      <c r="HQ82" s="29">
        <v>60000</v>
      </c>
      <c r="HR82" s="30">
        <v>376991.11843077518</v>
      </c>
      <c r="HS82" s="30">
        <f t="shared" si="48"/>
        <v>-49.032978159918621</v>
      </c>
      <c r="HT82" s="30">
        <f t="shared" si="49"/>
        <v>-49.033021822136014</v>
      </c>
      <c r="HU82" s="30">
        <f t="shared" si="50"/>
        <v>-4.3662217393602987E-5</v>
      </c>
      <c r="HV82" s="30">
        <f t="shared" si="8"/>
        <v>-29.094898928815322</v>
      </c>
      <c r="HW82" s="30">
        <f t="shared" si="9"/>
        <v>-29.120340794074206</v>
      </c>
      <c r="HX82" s="73">
        <f t="shared" si="10"/>
        <v>-7.9731181699571607E-5</v>
      </c>
      <c r="HY82" s="30">
        <f t="shared" si="51"/>
        <v>-6.1621787217486457E-2</v>
      </c>
      <c r="HZ82" s="74">
        <f t="shared" si="52"/>
        <v>2.5441865258883922E-2</v>
      </c>
    </row>
    <row r="83" spans="176:234" ht="15" customHeight="1">
      <c r="FT83" s="29">
        <v>70000</v>
      </c>
      <c r="FU83" s="27">
        <f t="shared" si="12"/>
        <v>439822.97150257102</v>
      </c>
      <c r="FV83" s="30">
        <f t="shared" si="53"/>
        <v>490.90824179546388</v>
      </c>
      <c r="FW83" s="30">
        <f t="shared" si="13"/>
        <v>0.63756294474475661</v>
      </c>
      <c r="FX83" s="34">
        <f t="shared" si="14"/>
        <v>490.90865581004186</v>
      </c>
      <c r="FY83" s="30">
        <f t="shared" si="15"/>
        <v>4.245568135675113E-4</v>
      </c>
      <c r="FZ83" s="30">
        <f t="shared" si="16"/>
        <v>-0.31878147237237831</v>
      </c>
      <c r="GA83" s="34">
        <f t="shared" si="17"/>
        <v>0.31878175508706474</v>
      </c>
      <c r="GB83" s="34">
        <f t="shared" si="18"/>
        <v>597.79335813029456</v>
      </c>
      <c r="GC83" s="34">
        <f t="shared" si="19"/>
        <v>36.243925550134001</v>
      </c>
      <c r="GD83" s="34">
        <f t="shared" si="20"/>
        <v>598.89107621000517</v>
      </c>
      <c r="GE83" s="55">
        <f t="shared" si="21"/>
        <v>1.1033209348526913</v>
      </c>
      <c r="GF83" s="55">
        <f t="shared" si="22"/>
        <v>-18.121962775067001</v>
      </c>
      <c r="GG83" s="34">
        <f t="shared" si="23"/>
        <v>18.155518497310901</v>
      </c>
      <c r="GH83" s="30">
        <f t="shared" si="24"/>
        <v>121.2125457712025</v>
      </c>
      <c r="GI83" s="30">
        <f t="shared" si="0"/>
        <v>-0.79498673871857861</v>
      </c>
      <c r="GJ83" s="34">
        <f t="shared" si="25"/>
        <v>121.21515275018466</v>
      </c>
      <c r="GK83" s="34">
        <f t="shared" si="26"/>
        <v>1.1033209348526913</v>
      </c>
      <c r="GL83" s="34">
        <f t="shared" si="27"/>
        <v>-36.31109912842647</v>
      </c>
      <c r="GM83" s="34">
        <f t="shared" si="28"/>
        <v>36.327857588904109</v>
      </c>
      <c r="GN83" s="55">
        <f t="shared" si="1"/>
        <v>1197.7933581302946</v>
      </c>
      <c r="GO83" s="55">
        <f t="shared" si="2"/>
        <v>36.243925550134001</v>
      </c>
      <c r="GP83" s="34">
        <f t="shared" si="29"/>
        <v>1198.3415835730361</v>
      </c>
      <c r="GQ83" s="55">
        <f t="shared" si="30"/>
        <v>2.2020595770552354</v>
      </c>
      <c r="GR83" s="55">
        <f t="shared" si="31"/>
        <v>-36.244204791926556</v>
      </c>
      <c r="GS83" s="34">
        <f t="shared" si="32"/>
        <v>36.311037542047913</v>
      </c>
      <c r="GT83" s="56">
        <f t="shared" si="33"/>
        <v>1090.9036595028138</v>
      </c>
      <c r="GU83" s="56">
        <f t="shared" si="33"/>
        <v>0.63728370295220316</v>
      </c>
      <c r="GV83" s="34">
        <f t="shared" si="34"/>
        <v>1090.9038456468788</v>
      </c>
      <c r="GW83" s="30">
        <f t="shared" si="35"/>
        <v>109.09169959296034</v>
      </c>
      <c r="GX83" s="30">
        <f t="shared" si="3"/>
        <v>-0.63756516656218021</v>
      </c>
      <c r="GY83" s="34">
        <f t="shared" si="36"/>
        <v>109.09356263970078</v>
      </c>
      <c r="GZ83" s="34">
        <f t="shared" si="56"/>
        <v>599.99994138842419</v>
      </c>
      <c r="HA83" s="34">
        <f t="shared" si="56"/>
        <v>-2.2218174235977273E-6</v>
      </c>
      <c r="HB83" s="34">
        <f t="shared" si="37"/>
        <v>599.99994138842419</v>
      </c>
      <c r="HC83" s="33">
        <f t="shared" si="5"/>
        <v>0.18181951708674945</v>
      </c>
      <c r="HD83" s="33">
        <f t="shared" si="6"/>
        <v>-1.0626080414559017E-3</v>
      </c>
      <c r="HE83" s="33">
        <f t="shared" si="57"/>
        <v>0.18182262216101863</v>
      </c>
      <c r="HF83" s="33">
        <f t="shared" si="39"/>
        <v>0.100000092718319</v>
      </c>
      <c r="HG83" s="33">
        <f t="shared" si="7"/>
        <v>-6.4289742781056293E-4</v>
      </c>
      <c r="HH83" s="33">
        <f t="shared" si="40"/>
        <v>0.10000215928056294</v>
      </c>
      <c r="HI83" s="30">
        <f t="shared" si="54"/>
        <v>3.2818007858262925E-4</v>
      </c>
      <c r="HJ83" s="30">
        <f t="shared" si="41"/>
        <v>-6.0431118963300079E-3</v>
      </c>
      <c r="HK83" s="33">
        <f t="shared" si="42"/>
        <v>6.0520164867210804E-3</v>
      </c>
      <c r="HL83" s="61">
        <f t="shared" si="43"/>
        <v>7.2728309436511529E-5</v>
      </c>
      <c r="HM83" s="61">
        <f t="shared" si="44"/>
        <v>-3.029323107029538E-3</v>
      </c>
      <c r="HN83" s="33">
        <f t="shared" si="45"/>
        <v>3.0301960157350523E-3</v>
      </c>
      <c r="HO83" s="30">
        <f t="shared" si="46"/>
        <v>-19.999812449298194</v>
      </c>
      <c r="HP83" s="30">
        <f t="shared" si="47"/>
        <v>30.370741004872325</v>
      </c>
      <c r="HQ83" s="29">
        <v>70000</v>
      </c>
      <c r="HR83" s="30">
        <v>439822.97150257102</v>
      </c>
      <c r="HS83" s="30">
        <f t="shared" si="48"/>
        <v>-50.370553454170519</v>
      </c>
      <c r="HT83" s="30">
        <f t="shared" si="49"/>
        <v>-50.370585543494066</v>
      </c>
      <c r="HU83" s="30">
        <f t="shared" si="50"/>
        <v>-3.2089323546813375E-5</v>
      </c>
      <c r="HV83" s="30">
        <f t="shared" si="8"/>
        <v>-30.432462650173374</v>
      </c>
      <c r="HW83" s="30">
        <f t="shared" si="9"/>
        <v>-30.457916088326105</v>
      </c>
      <c r="HX83" s="73">
        <f t="shared" si="10"/>
        <v>-5.8611575809663918E-5</v>
      </c>
      <c r="HY83" s="30">
        <f t="shared" si="51"/>
        <v>-6.1689555977501698E-2</v>
      </c>
      <c r="HZ83" s="74">
        <f t="shared" si="52"/>
        <v>2.5453438152730712E-2</v>
      </c>
    </row>
    <row r="84" spans="176:234" ht="15" customHeight="1">
      <c r="FT84" s="29">
        <v>80000</v>
      </c>
      <c r="FU84" s="27">
        <f t="shared" si="12"/>
        <v>502654.82457436691</v>
      </c>
      <c r="FV84" s="30">
        <f t="shared" si="53"/>
        <v>490.90844080620002</v>
      </c>
      <c r="FW84" s="30">
        <f t="shared" si="13"/>
        <v>0.55786780856584095</v>
      </c>
      <c r="FX84" s="34">
        <f t="shared" si="14"/>
        <v>490.90875778627765</v>
      </c>
      <c r="FY84" s="30">
        <f t="shared" si="15"/>
        <v>3.2505144551648246E-4</v>
      </c>
      <c r="FZ84" s="30">
        <f t="shared" si="16"/>
        <v>-0.27893390428292048</v>
      </c>
      <c r="GA84" s="34">
        <f t="shared" si="17"/>
        <v>0.27893409367977173</v>
      </c>
      <c r="GB84" s="34">
        <f t="shared" si="18"/>
        <v>598.30907622079599</v>
      </c>
      <c r="GC84" s="34">
        <f t="shared" si="19"/>
        <v>31.740908549542514</v>
      </c>
      <c r="GD84" s="34">
        <f t="shared" si="20"/>
        <v>599.15042849332303</v>
      </c>
      <c r="GE84" s="55">
        <f t="shared" si="21"/>
        <v>0.84546188960200408</v>
      </c>
      <c r="GF84" s="55">
        <f t="shared" si="22"/>
        <v>-15.870454274771257</v>
      </c>
      <c r="GG84" s="34">
        <f t="shared" si="23"/>
        <v>15.892958336772127</v>
      </c>
      <c r="GH84" s="30">
        <f t="shared" si="24"/>
        <v>121.21244626530296</v>
      </c>
      <c r="GI84" s="30">
        <f t="shared" si="0"/>
        <v>-0.6956135123358459</v>
      </c>
      <c r="GJ84" s="34">
        <f t="shared" si="25"/>
        <v>121.2144422409207</v>
      </c>
      <c r="GK84" s="34">
        <f t="shared" si="26"/>
        <v>0.84546188960200408</v>
      </c>
      <c r="GL84" s="34">
        <f t="shared" si="27"/>
        <v>-31.785948583960788</v>
      </c>
      <c r="GM84" s="34">
        <f t="shared" si="28"/>
        <v>31.797190649316303</v>
      </c>
      <c r="GN84" s="55">
        <f t="shared" si="1"/>
        <v>1198.309076220796</v>
      </c>
      <c r="GO84" s="55">
        <f t="shared" si="2"/>
        <v>31.740908549542514</v>
      </c>
      <c r="GP84" s="34">
        <f t="shared" si="29"/>
        <v>1198.7293803977143</v>
      </c>
      <c r="GQ84" s="55">
        <f t="shared" si="30"/>
        <v>1.6874131722039967</v>
      </c>
      <c r="GR84" s="55">
        <f t="shared" si="31"/>
        <v>-31.741095701275057</v>
      </c>
      <c r="GS84" s="34">
        <f t="shared" si="32"/>
        <v>31.785917000005355</v>
      </c>
      <c r="GT84" s="56">
        <f t="shared" si="33"/>
        <v>1090.9049301992002</v>
      </c>
      <c r="GU84" s="56">
        <f t="shared" si="33"/>
        <v>0.55768065683329837</v>
      </c>
      <c r="GV84" s="34">
        <f t="shared" si="34"/>
        <v>1090.9050727449373</v>
      </c>
      <c r="GW84" s="30">
        <f t="shared" si="35"/>
        <v>109.09151430261893</v>
      </c>
      <c r="GX84" s="30">
        <f t="shared" si="3"/>
        <v>-0.55786929757928172</v>
      </c>
      <c r="GY84" s="34">
        <f t="shared" si="36"/>
        <v>109.09294070191569</v>
      </c>
      <c r="GZ84" s="34">
        <f t="shared" si="56"/>
        <v>599.99995510881899</v>
      </c>
      <c r="HA84" s="34">
        <f t="shared" si="56"/>
        <v>-1.489013440769682E-6</v>
      </c>
      <c r="HB84" s="34">
        <f t="shared" si="37"/>
        <v>599.99995510881899</v>
      </c>
      <c r="HC84" s="33">
        <f t="shared" si="5"/>
        <v>0.18181920411013699</v>
      </c>
      <c r="HD84" s="33">
        <f t="shared" si="6"/>
        <v>-9.2978178097840875E-4</v>
      </c>
      <c r="HE84" s="33">
        <f t="shared" si="57"/>
        <v>0.18182158144016869</v>
      </c>
      <c r="HF84" s="33">
        <f t="shared" si="39"/>
        <v>0.1000000708253051</v>
      </c>
      <c r="HG84" s="33">
        <f t="shared" si="7"/>
        <v>-5.6253108814610599E-4</v>
      </c>
      <c r="HH84" s="33">
        <f t="shared" si="40"/>
        <v>0.1000016530177935</v>
      </c>
      <c r="HI84" s="30">
        <f t="shared" si="54"/>
        <v>2.5147992807460798E-4</v>
      </c>
      <c r="HJ84" s="30">
        <f t="shared" si="41"/>
        <v>-5.2917992848848542E-3</v>
      </c>
      <c r="HK84" s="33">
        <f t="shared" si="42"/>
        <v>5.2977714018002196E-3</v>
      </c>
      <c r="HL84" s="61">
        <f t="shared" si="43"/>
        <v>5.5694616649660329E-5</v>
      </c>
      <c r="HM84" s="61">
        <f t="shared" si="44"/>
        <v>-2.6511084925466568E-3</v>
      </c>
      <c r="HN84" s="33">
        <f t="shared" si="45"/>
        <v>2.6516934456261645E-3</v>
      </c>
      <c r="HO84" s="30">
        <f t="shared" si="46"/>
        <v>-19.999856421885443</v>
      </c>
      <c r="HP84" s="30">
        <f t="shared" si="47"/>
        <v>31.529652701389569</v>
      </c>
      <c r="HQ84" s="29">
        <v>80000</v>
      </c>
      <c r="HR84" s="30">
        <v>502654.82457436691</v>
      </c>
      <c r="HS84" s="30">
        <f t="shared" si="48"/>
        <v>-51.529509123275012</v>
      </c>
      <c r="HT84" s="30">
        <f t="shared" si="49"/>
        <v>-51.529533697112456</v>
      </c>
      <c r="HU84" s="30">
        <f t="shared" si="50"/>
        <v>-2.4573837443142565E-5</v>
      </c>
      <c r="HV84" s="30">
        <f t="shared" si="8"/>
        <v>-31.591410803791764</v>
      </c>
      <c r="HW84" s="30">
        <f t="shared" si="9"/>
        <v>-31.616871757430598</v>
      </c>
      <c r="HX84" s="73">
        <f t="shared" si="10"/>
        <v>-4.4891181005368708E-5</v>
      </c>
      <c r="HY84" s="30">
        <f t="shared" si="51"/>
        <v>-6.1733528564751339E-2</v>
      </c>
      <c r="HZ84" s="74">
        <f t="shared" si="52"/>
        <v>2.5460953638834383E-2</v>
      </c>
    </row>
    <row r="85" spans="176:234" ht="15" customHeight="1">
      <c r="FT85" s="29">
        <v>90000</v>
      </c>
      <c r="FU85" s="27">
        <f t="shared" si="12"/>
        <v>565486.6776461628</v>
      </c>
      <c r="FV85" s="30">
        <f t="shared" si="53"/>
        <v>490.90857724740101</v>
      </c>
      <c r="FW85" s="30">
        <f t="shared" si="13"/>
        <v>0.49588263783604458</v>
      </c>
      <c r="FX85" s="34">
        <f t="shared" si="14"/>
        <v>490.90882770088581</v>
      </c>
      <c r="FY85" s="30">
        <f t="shared" si="15"/>
        <v>2.5683084496627885E-4</v>
      </c>
      <c r="FZ85" s="30">
        <f t="shared" si="16"/>
        <v>-0.24794131891802229</v>
      </c>
      <c r="GA85" s="34">
        <f t="shared" si="17"/>
        <v>0.24794145193753175</v>
      </c>
      <c r="GB85" s="34">
        <f t="shared" si="18"/>
        <v>598.66316746025268</v>
      </c>
      <c r="GC85" s="34">
        <f t="shared" si="19"/>
        <v>28.230908395181839</v>
      </c>
      <c r="GD85" s="34">
        <f t="shared" si="20"/>
        <v>599.32843438498696</v>
      </c>
      <c r="GE85" s="55">
        <f t="shared" si="21"/>
        <v>0.66841626987364811</v>
      </c>
      <c r="GF85" s="55">
        <f t="shared" si="22"/>
        <v>-14.115454197590919</v>
      </c>
      <c r="GG85" s="34">
        <f t="shared" si="23"/>
        <v>14.131271263199178</v>
      </c>
      <c r="GH85" s="30">
        <f t="shared" si="24"/>
        <v>121.21237804433801</v>
      </c>
      <c r="GI85" s="30">
        <f t="shared" si="0"/>
        <v>-0.61832319274284475</v>
      </c>
      <c r="GJ85" s="34">
        <f t="shared" si="25"/>
        <v>121.21395511546596</v>
      </c>
      <c r="GK85" s="34">
        <f t="shared" si="26"/>
        <v>0.66841626987364811</v>
      </c>
      <c r="GL85" s="34">
        <f t="shared" si="27"/>
        <v>-28.26256025020384</v>
      </c>
      <c r="GM85" s="34">
        <f t="shared" si="28"/>
        <v>28.270463247110648</v>
      </c>
      <c r="GN85" s="55">
        <f t="shared" si="1"/>
        <v>1198.6631674602527</v>
      </c>
      <c r="GO85" s="55">
        <f t="shared" si="2"/>
        <v>28.230908395181839</v>
      </c>
      <c r="GP85" s="34">
        <f t="shared" si="29"/>
        <v>1198.9955684716533</v>
      </c>
      <c r="GQ85" s="55">
        <f t="shared" si="30"/>
        <v>1.3340574859795105</v>
      </c>
      <c r="GR85" s="55">
        <f t="shared" si="31"/>
        <v>-28.23103987711341</v>
      </c>
      <c r="GS85" s="34">
        <f t="shared" si="32"/>
        <v>28.262542736262521</v>
      </c>
      <c r="GT85" s="56">
        <f t="shared" si="33"/>
        <v>1090.905802193633</v>
      </c>
      <c r="GU85" s="56">
        <f t="shared" si="33"/>
        <v>0.49575115590447183</v>
      </c>
      <c r="GV85" s="34">
        <f t="shared" si="34"/>
        <v>1090.9059148381873</v>
      </c>
      <c r="GW85" s="30">
        <f t="shared" si="35"/>
        <v>109.09138727397568</v>
      </c>
      <c r="GX85" s="30">
        <f t="shared" si="3"/>
        <v>-0.49588368389206899</v>
      </c>
      <c r="GY85" s="34">
        <f t="shared" si="36"/>
        <v>109.09251430775851</v>
      </c>
      <c r="GZ85" s="34">
        <f t="shared" si="56"/>
        <v>599.99996452137668</v>
      </c>
      <c r="HA85" s="34">
        <f t="shared" si="56"/>
        <v>-1.0460560244118788E-6</v>
      </c>
      <c r="HB85" s="34">
        <f t="shared" si="37"/>
        <v>599.99996452137668</v>
      </c>
      <c r="HC85" s="33">
        <f t="shared" si="5"/>
        <v>0.18181898954254611</v>
      </c>
      <c r="HD85" s="33">
        <f t="shared" si="6"/>
        <v>-8.2647253836887918E-4</v>
      </c>
      <c r="HE85" s="33">
        <f t="shared" si="57"/>
        <v>0.18182086793085431</v>
      </c>
      <c r="HF85" s="33">
        <f t="shared" si="39"/>
        <v>0.10000005587284125</v>
      </c>
      <c r="HG85" s="33">
        <f t="shared" si="7"/>
        <v>-5.0002509622750076E-4</v>
      </c>
      <c r="HH85" s="33">
        <f t="shared" si="40"/>
        <v>0.10000130598981309</v>
      </c>
      <c r="HI85" s="30">
        <f t="shared" si="54"/>
        <v>1.9881794204918582E-4</v>
      </c>
      <c r="HJ85" s="30">
        <f t="shared" si="41"/>
        <v>-4.7063094356721924E-3</v>
      </c>
      <c r="HK85" s="33">
        <f t="shared" si="42"/>
        <v>4.7105070935492483E-3</v>
      </c>
      <c r="HL85" s="61">
        <f t="shared" si="43"/>
        <v>4.4012128449757549E-5</v>
      </c>
      <c r="HM85" s="61">
        <f t="shared" si="44"/>
        <v>-2.3568156930654453E-3</v>
      </c>
      <c r="HN85" s="33">
        <f t="shared" si="45"/>
        <v>2.3572266073778807E-3</v>
      </c>
      <c r="HO85" s="30">
        <f t="shared" si="46"/>
        <v>-19.99988656390688</v>
      </c>
      <c r="HP85" s="30">
        <f t="shared" si="47"/>
        <v>32.55206732510733</v>
      </c>
      <c r="HQ85" s="29">
        <v>90000</v>
      </c>
      <c r="HR85" s="30">
        <v>565486.6776461628</v>
      </c>
      <c r="HS85" s="30">
        <f t="shared" si="48"/>
        <v>-52.551953889014207</v>
      </c>
      <c r="HT85" s="30">
        <f t="shared" si="49"/>
        <v>-52.551973308332485</v>
      </c>
      <c r="HU85" s="30">
        <f t="shared" si="50"/>
        <v>-1.9419318277869024E-5</v>
      </c>
      <c r="HV85" s="30">
        <f t="shared" si="8"/>
        <v>-32.613850415011797</v>
      </c>
      <c r="HW85" s="30">
        <f t="shared" si="9"/>
        <v>-32.639316523169796</v>
      </c>
      <c r="HX85" s="73">
        <f t="shared" si="10"/>
        <v>-3.5478623317430902E-5</v>
      </c>
      <c r="HY85" s="30">
        <f t="shared" si="51"/>
        <v>-6.1763670586188368E-2</v>
      </c>
      <c r="HZ85" s="74">
        <f t="shared" si="52"/>
        <v>2.5466108157999656E-2</v>
      </c>
    </row>
    <row r="86" spans="176:234" ht="15" customHeight="1">
      <c r="FT86" s="29">
        <v>100000</v>
      </c>
      <c r="FU86" s="27">
        <f t="shared" si="12"/>
        <v>628318.53071795858</v>
      </c>
      <c r="FV86" s="30">
        <f t="shared" si="53"/>
        <v>490.9086748430372</v>
      </c>
      <c r="FW86" s="30">
        <f t="shared" si="13"/>
        <v>0.4462944650377299</v>
      </c>
      <c r="FX86" s="34">
        <f t="shared" si="14"/>
        <v>490.90887771041213</v>
      </c>
      <c r="FY86" s="30">
        <f t="shared" si="15"/>
        <v>2.0803302683402349E-4</v>
      </c>
      <c r="FZ86" s="30">
        <f t="shared" si="16"/>
        <v>-0.22314723251886495</v>
      </c>
      <c r="GA86" s="34">
        <f t="shared" si="17"/>
        <v>0.22314732949011204</v>
      </c>
      <c r="GB86" s="34">
        <f t="shared" si="18"/>
        <v>598.91670514046405</v>
      </c>
      <c r="GC86" s="34">
        <f t="shared" si="19"/>
        <v>25.418622864320138</v>
      </c>
      <c r="GD86" s="34">
        <f t="shared" si="20"/>
        <v>599.45585832872473</v>
      </c>
      <c r="GE86" s="55">
        <f t="shared" si="21"/>
        <v>0.54164742976794367</v>
      </c>
      <c r="GF86" s="55">
        <f>-(FP$12^2*FU86*FP$19)/((2*FP$12+FP$17)^2+(FU86*FP$19)^2)</f>
        <v>-12.709311432160069</v>
      </c>
      <c r="GG86" s="34">
        <f t="shared" si="23"/>
        <v>12.720848203551871</v>
      </c>
      <c r="GH86" s="30">
        <f t="shared" si="24"/>
        <v>121.21232924625923</v>
      </c>
      <c r="GI86" s="30">
        <f t="shared" si="0"/>
        <v>-0.55649091896120517</v>
      </c>
      <c r="GJ86" s="34">
        <f t="shared" si="25"/>
        <v>121.21360667617492</v>
      </c>
      <c r="GK86" s="34">
        <f t="shared" si="26"/>
        <v>0.54164742976794367</v>
      </c>
      <c r="GL86" s="34">
        <f t="shared" si="27"/>
        <v>-25.441706879511699</v>
      </c>
      <c r="GM86" s="34">
        <f t="shared" si="28"/>
        <v>25.447471993916551</v>
      </c>
      <c r="GN86" s="55">
        <f t="shared" si="1"/>
        <v>1198.916705140464</v>
      </c>
      <c r="GO86" s="55">
        <f t="shared" si="2"/>
        <v>25.418622864320138</v>
      </c>
      <c r="GP86" s="34">
        <f t="shared" si="29"/>
        <v>1199.1861291114008</v>
      </c>
      <c r="GQ86" s="55">
        <f t="shared" si="30"/>
        <v>1.081046346753902</v>
      </c>
      <c r="GR86" s="55">
        <f t="shared" si="31"/>
        <v>-25.418718735142949</v>
      </c>
      <c r="GS86" s="34">
        <f t="shared" si="32"/>
        <v>25.44169654995785</v>
      </c>
      <c r="GT86" s="56">
        <f t="shared" si="33"/>
        <v>1090.9064263302553</v>
      </c>
      <c r="GU86" s="56">
        <f t="shared" si="33"/>
        <v>0.44619859421491981</v>
      </c>
      <c r="GV86" s="34">
        <f t="shared" si="34"/>
        <v>1090.9065175815176</v>
      </c>
      <c r="GW86" s="30">
        <f t="shared" si="35"/>
        <v>109.09129641403341</v>
      </c>
      <c r="GX86" s="30">
        <f t="shared" si="3"/>
        <v>-0.44629522775565472</v>
      </c>
      <c r="GY86" s="34">
        <f t="shared" si="36"/>
        <v>109.09220931269481</v>
      </c>
      <c r="GZ86" s="34">
        <f t="shared" si="56"/>
        <v>599.99997125707057</v>
      </c>
      <c r="HA86" s="34">
        <f t="shared" si="56"/>
        <v>-7.6271792481819034E-7</v>
      </c>
      <c r="HB86" s="34">
        <f t="shared" si="37"/>
        <v>599.99997125707057</v>
      </c>
      <c r="HC86" s="33">
        <f t="shared" si="5"/>
        <v>0.18181883606767785</v>
      </c>
      <c r="HD86" s="33">
        <f t="shared" si="6"/>
        <v>-7.438251840981402E-4</v>
      </c>
      <c r="HE86" s="33">
        <f t="shared" si="57"/>
        <v>0.18182035756457421</v>
      </c>
      <c r="HF86" s="33">
        <f t="shared" si="39"/>
        <v>0.10000004520605595</v>
      </c>
      <c r="HG86" s="33">
        <f t="shared" si="7"/>
        <v>-4.5002095213949646E-4</v>
      </c>
      <c r="HH86" s="33">
        <f t="shared" si="40"/>
        <v>0.10000105779475833</v>
      </c>
      <c r="HI86" s="30">
        <f t="shared" si="54"/>
        <v>1.6111082671552387E-4</v>
      </c>
      <c r="HJ86" s="30">
        <f t="shared" si="41"/>
        <v>-4.2372817137280938E-3</v>
      </c>
      <c r="HK86" s="33">
        <f t="shared" si="42"/>
        <v>4.24034350259262E-3</v>
      </c>
      <c r="HL86" s="61">
        <f t="shared" si="43"/>
        <v>3.565359416910196E-5</v>
      </c>
      <c r="HM86" s="61">
        <f t="shared" si="44"/>
        <v>-2.1213110824098748E-3</v>
      </c>
      <c r="HN86" s="33">
        <f t="shared" si="45"/>
        <v>2.1216106822723462E-3</v>
      </c>
      <c r="HO86" s="30">
        <f t="shared" si="46"/>
        <v>-19.999908121600637</v>
      </c>
      <c r="HP86" s="30">
        <f t="shared" si="47"/>
        <v>33.466762279135537</v>
      </c>
      <c r="HQ86" s="29">
        <v>100000</v>
      </c>
      <c r="HR86" s="30">
        <v>628318.53071795858</v>
      </c>
      <c r="HS86" s="30">
        <f t="shared" si="48"/>
        <v>-53.466670400736177</v>
      </c>
      <c r="HT86" s="30">
        <f t="shared" si="49"/>
        <v>-53.466686132095269</v>
      </c>
      <c r="HU86" s="30">
        <f t="shared" si="50"/>
        <v>-1.5731359091830655E-5</v>
      </c>
      <c r="HV86" s="30">
        <f t="shared" si="8"/>
        <v>-33.528563238774581</v>
      </c>
      <c r="HW86" s="30">
        <f t="shared" si="9"/>
        <v>-33.554033034891759</v>
      </c>
      <c r="HX86" s="73">
        <f t="shared" si="10"/>
        <v>-2.8742929430336517E-5</v>
      </c>
      <c r="HY86" s="30">
        <f t="shared" si="51"/>
        <v>-6.1785228279944704E-2</v>
      </c>
      <c r="HZ86" s="74">
        <f t="shared" si="52"/>
        <v>2.5469796117178589E-2</v>
      </c>
    </row>
    <row r="87" spans="176:234" ht="15" customHeight="1">
      <c r="HQ87" s="29"/>
    </row>
    <row r="88" spans="176:234" ht="15" customHeight="1">
      <c r="HQ88" s="29"/>
    </row>
    <row r="89" spans="176:234" ht="15" customHeight="1">
      <c r="HQ89" s="29"/>
    </row>
    <row r="90" spans="176:234" ht="15" customHeight="1">
      <c r="HQ90" s="29"/>
    </row>
    <row r="91" spans="176:234" ht="15" customHeight="1">
      <c r="HQ91" s="29"/>
    </row>
    <row r="92" spans="176:234" ht="15" customHeight="1">
      <c r="HQ92" s="29"/>
    </row>
    <row r="93" spans="176:234" ht="15" customHeight="1">
      <c r="HQ93" s="29"/>
    </row>
    <row r="94" spans="176:234" ht="15" customHeight="1">
      <c r="HQ94" s="29"/>
    </row>
    <row r="95" spans="176:234" ht="15" customHeight="1">
      <c r="HQ95" s="29"/>
    </row>
    <row r="96" spans="176:234" ht="15" customHeight="1">
      <c r="HQ96" s="29"/>
    </row>
    <row r="97" spans="225:225" ht="15" customHeight="1">
      <c r="HQ97" s="29"/>
    </row>
    <row r="98" spans="225:225" ht="15" customHeight="1">
      <c r="HQ98" s="29"/>
    </row>
    <row r="99" spans="225:225" ht="15" customHeight="1">
      <c r="HQ99" s="29"/>
    </row>
    <row r="100" spans="225:225" ht="15" customHeight="1">
      <c r="HQ100" s="29"/>
    </row>
    <row r="101" spans="225:225" ht="15" customHeight="1">
      <c r="HQ101" s="29"/>
    </row>
    <row r="1158" spans="43:43" ht="15" customHeight="1">
      <c r="AQ1158" s="30" t="s">
        <v>0</v>
      </c>
    </row>
  </sheetData>
  <mergeCells count="485">
    <mergeCell ref="I78:L78"/>
    <mergeCell ref="O65:P65"/>
    <mergeCell ref="I67:L67"/>
    <mergeCell ref="I68:L68"/>
    <mergeCell ref="I70:M70"/>
    <mergeCell ref="I72:L72"/>
    <mergeCell ref="I76:L76"/>
    <mergeCell ref="AU58:AX59"/>
    <mergeCell ref="AY58:AY59"/>
    <mergeCell ref="AW54:AX55"/>
    <mergeCell ref="AY54:AY55"/>
    <mergeCell ref="BS54:BS55"/>
    <mergeCell ref="AZ55:BN55"/>
    <mergeCell ref="BT55:CH55"/>
    <mergeCell ref="AZ58:BD59"/>
    <mergeCell ref="BE58:BE59"/>
    <mergeCell ref="BF58:BJ59"/>
    <mergeCell ref="AY60:AY61"/>
    <mergeCell ref="AY56:AY57"/>
    <mergeCell ref="AZ56:BO56"/>
    <mergeCell ref="BS56:BS57"/>
    <mergeCell ref="BT56:CK56"/>
    <mergeCell ref="BC57:BM57"/>
    <mergeCell ref="BV57:CG57"/>
    <mergeCell ref="BX48:CD48"/>
    <mergeCell ref="CQ48:CQ49"/>
    <mergeCell ref="CR48:CZ48"/>
    <mergeCell ref="BY49:CD49"/>
    <mergeCell ref="CR49:CZ49"/>
    <mergeCell ref="AW50:AX51"/>
    <mergeCell ref="AY50:BB51"/>
    <mergeCell ref="BC50:BC51"/>
    <mergeCell ref="BD50:BN51"/>
    <mergeCell ref="BO50:BO51"/>
    <mergeCell ref="BB48:BF49"/>
    <mergeCell ref="BG48:BG49"/>
    <mergeCell ref="BH48:BK49"/>
    <mergeCell ref="BL48:BL49"/>
    <mergeCell ref="BM48:BP49"/>
    <mergeCell ref="BW48:BW49"/>
    <mergeCell ref="BP50:BT51"/>
    <mergeCell ref="BU50:BU51"/>
    <mergeCell ref="BV50:CA51"/>
    <mergeCell ref="CB50:CB51"/>
    <mergeCell ref="CC50:CF51"/>
    <mergeCell ref="CQ46:CQ47"/>
    <mergeCell ref="AJ47:AM47"/>
    <mergeCell ref="AP47:AS47"/>
    <mergeCell ref="BH47:BN47"/>
    <mergeCell ref="BX47:CL47"/>
    <mergeCell ref="CR47:DF47"/>
    <mergeCell ref="AP45:AS45"/>
    <mergeCell ref="AY45:BF45"/>
    <mergeCell ref="BH45:BV45"/>
    <mergeCell ref="BX45:CL45"/>
    <mergeCell ref="AJ46:AM46"/>
    <mergeCell ref="AP46:AS46"/>
    <mergeCell ref="BG46:BG47"/>
    <mergeCell ref="BH46:BN46"/>
    <mergeCell ref="BW46:BW47"/>
    <mergeCell ref="BO42:BO43"/>
    <mergeCell ref="BP42:BQ43"/>
    <mergeCell ref="CS42:CV42"/>
    <mergeCell ref="AJ43:AM43"/>
    <mergeCell ref="AW44:AX45"/>
    <mergeCell ref="AY44:BF44"/>
    <mergeCell ref="BG44:BG45"/>
    <mergeCell ref="BH44:BV44"/>
    <mergeCell ref="BW44:BW45"/>
    <mergeCell ref="AJ45:AM45"/>
    <mergeCell ref="AJ42:AM42"/>
    <mergeCell ref="AW42:AX43"/>
    <mergeCell ref="AY42:BA43"/>
    <mergeCell ref="BB42:BB43"/>
    <mergeCell ref="BC42:BF43"/>
    <mergeCell ref="BG42:BG43"/>
    <mergeCell ref="DL40:DL41"/>
    <mergeCell ref="BA41:BC41"/>
    <mergeCell ref="BG41:BI41"/>
    <mergeCell ref="BU41:BY41"/>
    <mergeCell ref="CS41:CV41"/>
    <mergeCell ref="CW41:CW42"/>
    <mergeCell ref="CX41:DF41"/>
    <mergeCell ref="BH42:BK43"/>
    <mergeCell ref="BL42:BL43"/>
    <mergeCell ref="BM42:BN43"/>
    <mergeCell ref="CE40:CE41"/>
    <mergeCell ref="CF40:CI41"/>
    <mergeCell ref="CJ40:CJ41"/>
    <mergeCell ref="CK40:CL41"/>
    <mergeCell ref="CM40:CM41"/>
    <mergeCell ref="CN40:CO41"/>
    <mergeCell ref="BO40:BO41"/>
    <mergeCell ref="BP40:BS41"/>
    <mergeCell ref="BT40:BT41"/>
    <mergeCell ref="BU40:BY40"/>
    <mergeCell ref="BZ40:BZ41"/>
    <mergeCell ref="CA40:CD41"/>
    <mergeCell ref="BD40:BD41"/>
    <mergeCell ref="BE40:BE41"/>
    <mergeCell ref="BF40:BF41"/>
    <mergeCell ref="BG40:BI40"/>
    <mergeCell ref="BJ40:BJ41"/>
    <mergeCell ref="BK40:BN41"/>
    <mergeCell ref="AJ40:AM40"/>
    <mergeCell ref="AP40:AS40"/>
    <mergeCell ref="AW40:AX41"/>
    <mergeCell ref="AY40:AY41"/>
    <mergeCell ref="AZ40:AZ41"/>
    <mergeCell ref="BA40:BC40"/>
    <mergeCell ref="CU38:CV39"/>
    <mergeCell ref="CW38:CW39"/>
    <mergeCell ref="CX38:CY39"/>
    <mergeCell ref="AJ39:AM39"/>
    <mergeCell ref="AP39:AS39"/>
    <mergeCell ref="BC39:BH39"/>
    <mergeCell ref="BN39:BQ39"/>
    <mergeCell ref="BW39:CB39"/>
    <mergeCell ref="CD39:CI39"/>
    <mergeCell ref="CD38:CI38"/>
    <mergeCell ref="CJ38:CJ39"/>
    <mergeCell ref="CK38:CN39"/>
    <mergeCell ref="CO38:CO39"/>
    <mergeCell ref="CP38:CS39"/>
    <mergeCell ref="CT38:CT39"/>
    <mergeCell ref="BS38:BS39"/>
    <mergeCell ref="BT38:BT39"/>
    <mergeCell ref="BU38:BU39"/>
    <mergeCell ref="BV38:BV39"/>
    <mergeCell ref="BW38:CB38"/>
    <mergeCell ref="CC38:CC39"/>
    <mergeCell ref="BJ38:BJ39"/>
    <mergeCell ref="BK38:BK39"/>
    <mergeCell ref="BL38:BL39"/>
    <mergeCell ref="BM38:BM39"/>
    <mergeCell ref="BN38:BQ38"/>
    <mergeCell ref="BR38:BR39"/>
    <mergeCell ref="AJ38:AM38"/>
    <mergeCell ref="AW38:AX39"/>
    <mergeCell ref="AY38:AZ39"/>
    <mergeCell ref="BA38:BB39"/>
    <mergeCell ref="BC38:BH38"/>
    <mergeCell ref="BI38:BI39"/>
    <mergeCell ref="AJ37:AM37"/>
    <mergeCell ref="AY37:BD37"/>
    <mergeCell ref="BF37:BM37"/>
    <mergeCell ref="BO37:BV37"/>
    <mergeCell ref="BX37:CE37"/>
    <mergeCell ref="CG37:CJ37"/>
    <mergeCell ref="CL37:CO37"/>
    <mergeCell ref="CL36:CO36"/>
    <mergeCell ref="CP36:CP37"/>
    <mergeCell ref="BO36:BV36"/>
    <mergeCell ref="BW36:BW37"/>
    <mergeCell ref="BX36:CE36"/>
    <mergeCell ref="CF36:CF37"/>
    <mergeCell ref="CG36:CJ36"/>
    <mergeCell ref="CK36:CK37"/>
    <mergeCell ref="AJ36:AM36"/>
    <mergeCell ref="AW36:AX37"/>
    <mergeCell ref="AY36:BD36"/>
    <mergeCell ref="BE36:BE37"/>
    <mergeCell ref="BF36:BM36"/>
    <mergeCell ref="BN36:BN37"/>
    <mergeCell ref="DS34:DV35"/>
    <mergeCell ref="DW34:DW35"/>
    <mergeCell ref="DX34:DY35"/>
    <mergeCell ref="DZ34:DZ35"/>
    <mergeCell ref="EA34:EB35"/>
    <mergeCell ref="DN34:DQ35"/>
    <mergeCell ref="DR34:DR35"/>
    <mergeCell ref="BR34:BR35"/>
    <mergeCell ref="DA36:DB37"/>
    <mergeCell ref="DC36:DC37"/>
    <mergeCell ref="DD36:DE37"/>
    <mergeCell ref="CQ36:CT37"/>
    <mergeCell ref="CU36:CU37"/>
    <mergeCell ref="CV36:CY37"/>
    <mergeCell ref="CZ36:CZ37"/>
    <mergeCell ref="B35:C35"/>
    <mergeCell ref="AJ35:AM35"/>
    <mergeCell ref="AY35:BD35"/>
    <mergeCell ref="BF35:BQ35"/>
    <mergeCell ref="BS35:CG35"/>
    <mergeCell ref="DD34:DG34"/>
    <mergeCell ref="DH34:DH35"/>
    <mergeCell ref="DI34:DL34"/>
    <mergeCell ref="DM34:DM35"/>
    <mergeCell ref="DD35:DG35"/>
    <mergeCell ref="DI35:DL35"/>
    <mergeCell ref="BS34:CG34"/>
    <mergeCell ref="CH34:CH35"/>
    <mergeCell ref="CI34:CS34"/>
    <mergeCell ref="CT34:CT35"/>
    <mergeCell ref="CU34:DB34"/>
    <mergeCell ref="DC34:DC35"/>
    <mergeCell ref="CI35:CS35"/>
    <mergeCell ref="CU35:DB35"/>
    <mergeCell ref="AJ34:AM34"/>
    <mergeCell ref="AW34:AX35"/>
    <mergeCell ref="AY34:BD34"/>
    <mergeCell ref="BE34:BE35"/>
    <mergeCell ref="BF34:BQ34"/>
    <mergeCell ref="DE32:DF33"/>
    <mergeCell ref="DG32:DG33"/>
    <mergeCell ref="DH32:DI33"/>
    <mergeCell ref="AJ33:AM33"/>
    <mergeCell ref="AY33:BD33"/>
    <mergeCell ref="BF33:BQ33"/>
    <mergeCell ref="BS33:BZ33"/>
    <mergeCell ref="CB33:CI33"/>
    <mergeCell ref="CK33:CN33"/>
    <mergeCell ref="CP33:CS33"/>
    <mergeCell ref="CP32:CS32"/>
    <mergeCell ref="CT32:CT33"/>
    <mergeCell ref="CU32:CX33"/>
    <mergeCell ref="CY32:CY33"/>
    <mergeCell ref="CZ32:DC33"/>
    <mergeCell ref="DD32:DD33"/>
    <mergeCell ref="BS32:BZ32"/>
    <mergeCell ref="CA32:CA33"/>
    <mergeCell ref="CB32:CH32"/>
    <mergeCell ref="CJ32:CJ33"/>
    <mergeCell ref="CK32:CN32"/>
    <mergeCell ref="CO32:CO33"/>
    <mergeCell ref="AJ32:AM32"/>
    <mergeCell ref="AW32:AX33"/>
    <mergeCell ref="AY32:BD32"/>
    <mergeCell ref="BE32:BE33"/>
    <mergeCell ref="BF32:BQ32"/>
    <mergeCell ref="BR32:BR33"/>
    <mergeCell ref="AJ31:AM31"/>
    <mergeCell ref="AY31:BD31"/>
    <mergeCell ref="BF31:BQ31"/>
    <mergeCell ref="BS31:CC31"/>
    <mergeCell ref="CE31:CL31"/>
    <mergeCell ref="ES29:EW29"/>
    <mergeCell ref="AJ30:AM30"/>
    <mergeCell ref="AW30:AX31"/>
    <mergeCell ref="AY30:BD30"/>
    <mergeCell ref="BE30:BE31"/>
    <mergeCell ref="BF30:BQ30"/>
    <mergeCell ref="BR30:BR31"/>
    <mergeCell ref="BS30:CC30"/>
    <mergeCell ref="CD30:CD31"/>
    <mergeCell ref="CE30:CL30"/>
    <mergeCell ref="CN31:CQ31"/>
    <mergeCell ref="DB30:DB31"/>
    <mergeCell ref="DC30:DF31"/>
    <mergeCell ref="DG30:DG31"/>
    <mergeCell ref="DH30:DI31"/>
    <mergeCell ref="DJ30:DJ31"/>
    <mergeCell ref="DK30:DL31"/>
    <mergeCell ref="CM30:CM31"/>
    <mergeCell ref="CN30:CQ30"/>
    <mergeCell ref="CR30:CR31"/>
    <mergeCell ref="CS30:CV30"/>
    <mergeCell ref="CW30:CW31"/>
    <mergeCell ref="CX30:DA31"/>
    <mergeCell ref="CS31:CV31"/>
    <mergeCell ref="DC26:DD26"/>
    <mergeCell ref="DE26:DR26"/>
    <mergeCell ref="CT27:CU27"/>
    <mergeCell ref="CV27:CZ27"/>
    <mergeCell ref="DC27:DG27"/>
    <mergeCell ref="EN29:EQ29"/>
    <mergeCell ref="GW24:GY24"/>
    <mergeCell ref="GZ24:HB24"/>
    <mergeCell ref="HC24:HE24"/>
    <mergeCell ref="EX24:EX25"/>
    <mergeCell ref="EY24:EY25"/>
    <mergeCell ref="EZ24:FF25"/>
    <mergeCell ref="FV24:FX24"/>
    <mergeCell ref="FY24:GA24"/>
    <mergeCell ref="GB24:GD24"/>
    <mergeCell ref="EK24:EK25"/>
    <mergeCell ref="EL24:EM25"/>
    <mergeCell ref="EN24:EQ25"/>
    <mergeCell ref="ER24:ER25"/>
    <mergeCell ref="ES24:ES25"/>
    <mergeCell ref="ET24:EW25"/>
    <mergeCell ref="DT24:DT25"/>
    <mergeCell ref="DU24:DV25"/>
    <mergeCell ref="DW24:DX25"/>
    <mergeCell ref="HF24:HH24"/>
    <mergeCell ref="HI24:HK24"/>
    <mergeCell ref="HL24:HN24"/>
    <mergeCell ref="GE24:GG24"/>
    <mergeCell ref="GH24:GJ24"/>
    <mergeCell ref="GK24:GM24"/>
    <mergeCell ref="GN24:GP24"/>
    <mergeCell ref="GQ24:GS24"/>
    <mergeCell ref="GT24:GV24"/>
    <mergeCell ref="ET22:EW22"/>
    <mergeCell ref="DY24:DZ25"/>
    <mergeCell ref="EA24:EB25"/>
    <mergeCell ref="EC24:EC25"/>
    <mergeCell ref="DF24:DF25"/>
    <mergeCell ref="DG24:DH25"/>
    <mergeCell ref="DI24:DL25"/>
    <mergeCell ref="DM24:DN25"/>
    <mergeCell ref="DO24:DR25"/>
    <mergeCell ref="DS24:DS25"/>
    <mergeCell ref="DP22:DV22"/>
    <mergeCell ref="CR24:CR25"/>
    <mergeCell ref="CS24:CT25"/>
    <mergeCell ref="CU24:CX24"/>
    <mergeCell ref="CY24:CZ25"/>
    <mergeCell ref="DA24:DD24"/>
    <mergeCell ref="DE24:DE25"/>
    <mergeCell ref="CU25:CX25"/>
    <mergeCell ref="DA25:DD25"/>
    <mergeCell ref="CK22:CL23"/>
    <mergeCell ref="CM22:CN23"/>
    <mergeCell ref="CO22:CQ22"/>
    <mergeCell ref="CR22:CR23"/>
    <mergeCell ref="CS22:CT23"/>
    <mergeCell ref="CU22:CY22"/>
    <mergeCell ref="EX22:EX23"/>
    <mergeCell ref="CO23:CQ23"/>
    <mergeCell ref="CU23:CY23"/>
    <mergeCell ref="DC23:DL23"/>
    <mergeCell ref="DP23:DV23"/>
    <mergeCell ref="DY23:EE23"/>
    <mergeCell ref="EM23:EW23"/>
    <mergeCell ref="DW22:DX23"/>
    <mergeCell ref="DY22:EE22"/>
    <mergeCell ref="EF22:EF23"/>
    <mergeCell ref="EJ22:EJ23"/>
    <mergeCell ref="EK22:EL23"/>
    <mergeCell ref="EM22:EQ22"/>
    <mergeCell ref="CZ22:CZ23"/>
    <mergeCell ref="DA22:DB23"/>
    <mergeCell ref="DC22:DL22"/>
    <mergeCell ref="DM22:DM23"/>
    <mergeCell ref="DN22:DO23"/>
    <mergeCell ref="ED18:EE19"/>
    <mergeCell ref="EF18:EF19"/>
    <mergeCell ref="EK18:EN18"/>
    <mergeCell ref="EO18:EO19"/>
    <mergeCell ref="EP18:FI18"/>
    <mergeCell ref="CV19:CZ19"/>
    <mergeCell ref="DC19:DG19"/>
    <mergeCell ref="EP19:FI19"/>
    <mergeCell ref="DV18:DV19"/>
    <mergeCell ref="DW18:DW19"/>
    <mergeCell ref="DX18:DY19"/>
    <mergeCell ref="DZ18:EA19"/>
    <mergeCell ref="EB18:EB19"/>
    <mergeCell ref="EC18:EC19"/>
    <mergeCell ref="EI20:EI21"/>
    <mergeCell ref="EJ20:EK21"/>
    <mergeCell ref="EL20:FM20"/>
    <mergeCell ref="AV21:AW21"/>
    <mergeCell ref="BA21:BC21"/>
    <mergeCell ref="BL21:BM21"/>
    <mergeCell ref="BU21:BV21"/>
    <mergeCell ref="CT21:CU21"/>
    <mergeCell ref="CV21:CZ21"/>
    <mergeCell ref="DA21:DB21"/>
    <mergeCell ref="DC21:DG21"/>
    <mergeCell ref="DJ21:DK21"/>
    <mergeCell ref="EL21:FM21"/>
    <mergeCell ref="DH18:DH19"/>
    <mergeCell ref="DI18:DI19"/>
    <mergeCell ref="DJ18:DK19"/>
    <mergeCell ref="DL18:DO19"/>
    <mergeCell ref="DP18:DQ19"/>
    <mergeCell ref="DR18:DU19"/>
    <mergeCell ref="CS18:CS19"/>
    <mergeCell ref="CT18:CU19"/>
    <mergeCell ref="CV18:CZ18"/>
    <mergeCell ref="DA18:DA19"/>
    <mergeCell ref="DB18:DB19"/>
    <mergeCell ref="DC18:DG18"/>
    <mergeCell ref="DM16:DM17"/>
    <mergeCell ref="DN16:DN17"/>
    <mergeCell ref="DO16:EF16"/>
    <mergeCell ref="EG16:EG17"/>
    <mergeCell ref="FC16:FH16"/>
    <mergeCell ref="CV17:DL17"/>
    <mergeCell ref="DO17:EF17"/>
    <mergeCell ref="A15:B15"/>
    <mergeCell ref="CO15:CR15"/>
    <mergeCell ref="CV15:DL15"/>
    <mergeCell ref="CS16:CS17"/>
    <mergeCell ref="CT16:CU17"/>
    <mergeCell ref="CV16:DL16"/>
    <mergeCell ref="DH13:DI13"/>
    <mergeCell ref="FC13:FH13"/>
    <mergeCell ref="CK14:CL15"/>
    <mergeCell ref="CM14:CN15"/>
    <mergeCell ref="CO14:CR14"/>
    <mergeCell ref="CS14:CS15"/>
    <mergeCell ref="CT14:CU15"/>
    <mergeCell ref="CV14:DL14"/>
    <mergeCell ref="AQ12:AR12"/>
    <mergeCell ref="BF12:BG12"/>
    <mergeCell ref="BU13:BV13"/>
    <mergeCell ref="CP13:CT13"/>
    <mergeCell ref="CU13:CV13"/>
    <mergeCell ref="CW13:DA13"/>
    <mergeCell ref="FC10:FH10"/>
    <mergeCell ref="CG11:CI11"/>
    <mergeCell ref="CP11:CT11"/>
    <mergeCell ref="CW11:DA11"/>
    <mergeCell ref="DK10:DL11"/>
    <mergeCell ref="DM10:DQ11"/>
    <mergeCell ref="DR10:DR11"/>
    <mergeCell ref="DS10:DS11"/>
    <mergeCell ref="DT10:DU11"/>
    <mergeCell ref="DV10:DW11"/>
    <mergeCell ref="CU10:CV11"/>
    <mergeCell ref="CW10:DA10"/>
    <mergeCell ref="DB10:DB11"/>
    <mergeCell ref="DC10:DC11"/>
    <mergeCell ref="DD10:DE11"/>
    <mergeCell ref="DF10:DJ11"/>
    <mergeCell ref="CV9:DF9"/>
    <mergeCell ref="DJ9:DS9"/>
    <mergeCell ref="DV9:EE9"/>
    <mergeCell ref="CD10:CD11"/>
    <mergeCell ref="CE10:CF11"/>
    <mergeCell ref="CG10:CI10"/>
    <mergeCell ref="CM10:CM11"/>
    <mergeCell ref="CN10:CO11"/>
    <mergeCell ref="CP10:CT10"/>
    <mergeCell ref="DG8:DG9"/>
    <mergeCell ref="DH8:DI9"/>
    <mergeCell ref="DJ8:DS8"/>
    <mergeCell ref="DT8:DU9"/>
    <mergeCell ref="DV8:EE8"/>
    <mergeCell ref="DX10:DY11"/>
    <mergeCell ref="DZ10:EA11"/>
    <mergeCell ref="EB10:EB11"/>
    <mergeCell ref="EF8:EF9"/>
    <mergeCell ref="EB6:EB7"/>
    <mergeCell ref="CO7:CU7"/>
    <mergeCell ref="CX7:DC7"/>
    <mergeCell ref="FC7:FH7"/>
    <mergeCell ref="CL8:CM9"/>
    <mergeCell ref="CN8:CO9"/>
    <mergeCell ref="CP8:CR8"/>
    <mergeCell ref="CS8:CS9"/>
    <mergeCell ref="CT8:CU9"/>
    <mergeCell ref="CV8:DF8"/>
    <mergeCell ref="DR6:DR7"/>
    <mergeCell ref="DS6:DS7"/>
    <mergeCell ref="DT6:DU7"/>
    <mergeCell ref="DV6:DW7"/>
    <mergeCell ref="DX6:DY7"/>
    <mergeCell ref="DZ6:EA7"/>
    <mergeCell ref="DD6:DD7"/>
    <mergeCell ref="DE6:DE7"/>
    <mergeCell ref="DF6:DG7"/>
    <mergeCell ref="DH6:DK7"/>
    <mergeCell ref="DL6:DM7"/>
    <mergeCell ref="DN6:DQ7"/>
    <mergeCell ref="CP9:CR9"/>
    <mergeCell ref="CV6:CW7"/>
    <mergeCell ref="CX6:DC6"/>
    <mergeCell ref="DT4:DU5"/>
    <mergeCell ref="ET4:ET5"/>
    <mergeCell ref="FC4:FH4"/>
    <mergeCell ref="CO5:CR5"/>
    <mergeCell ref="CV5:DC5"/>
    <mergeCell ref="DG5:DR5"/>
    <mergeCell ref="DV5:EF5"/>
    <mergeCell ref="EH5:ER5"/>
    <mergeCell ref="CT4:CU5"/>
    <mergeCell ref="CV4:DC4"/>
    <mergeCell ref="DD4:DD5"/>
    <mergeCell ref="DE4:DF5"/>
    <mergeCell ref="DG4:DR4"/>
    <mergeCell ref="DS4:DS5"/>
    <mergeCell ref="AY2:AZ2"/>
    <mergeCell ref="BV4:BW4"/>
    <mergeCell ref="CK4:CL5"/>
    <mergeCell ref="CM4:CN5"/>
    <mergeCell ref="CO4:CR4"/>
    <mergeCell ref="CS4:CS5"/>
    <mergeCell ref="AV6:AW6"/>
    <mergeCell ref="BE6:BF6"/>
    <mergeCell ref="CM6:CN7"/>
    <mergeCell ref="CO6:CU6"/>
  </mergeCells>
  <phoneticPr fontId="1"/>
  <pageMargins left="0.21" right="0.2" top="0.3" bottom="0.34" header="0.23" footer="0.16"/>
  <pageSetup paperSize="9" scale="50" orientation="landscape" horizontalDpi="4294967293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IJ1158"/>
  <sheetViews>
    <sheetView topLeftCell="HJ1" zoomScale="50" zoomScaleNormal="50" workbookViewId="0">
      <selection activeCell="HX26" sqref="HX26"/>
    </sheetView>
  </sheetViews>
  <sheetFormatPr defaultColWidth="2.5" defaultRowHeight="15" customHeight="1"/>
  <cols>
    <col min="1" max="8" width="2.5" style="30"/>
    <col min="9" max="9" width="2.375" style="30" customWidth="1"/>
    <col min="10" max="14" width="2.5" style="30"/>
    <col min="15" max="15" width="2.5" style="30" customWidth="1"/>
    <col min="16" max="35" width="2.5" style="30"/>
    <col min="36" max="36" width="2.375" style="30" customWidth="1"/>
    <col min="37" max="37" width="2.5" style="30"/>
    <col min="38" max="112" width="2.5" style="30" customWidth="1"/>
    <col min="113" max="116" width="2.75" style="30" customWidth="1"/>
    <col min="117" max="140" width="2.5" style="30"/>
    <col min="141" max="141" width="2.625" style="30" customWidth="1"/>
    <col min="142" max="147" width="2.5" style="30"/>
    <col min="148" max="148" width="2.625" style="30" customWidth="1"/>
    <col min="149" max="149" width="3.875" style="30" bestFit="1" customWidth="1"/>
    <col min="150" max="170" width="2.5" style="30"/>
    <col min="171" max="171" width="9.25" style="30" customWidth="1"/>
    <col min="172" max="173" width="8.625" style="30" customWidth="1"/>
    <col min="174" max="174" width="9.25" style="30" customWidth="1"/>
    <col min="175" max="175" width="3.875" style="30" customWidth="1"/>
    <col min="176" max="177" width="8.125" style="30" customWidth="1"/>
    <col min="178" max="179" width="6.375" style="30" customWidth="1"/>
    <col min="180" max="180" width="6.75" style="30" customWidth="1"/>
    <col min="181" max="187" width="6.625" style="30" customWidth="1"/>
    <col min="188" max="188" width="8.375" style="30" customWidth="1"/>
    <col min="189" max="191" width="6.625" style="30" customWidth="1"/>
    <col min="192" max="192" width="9.125" style="30" customWidth="1"/>
    <col min="193" max="193" width="8.25" style="30" customWidth="1"/>
    <col min="194" max="194" width="12" style="30" customWidth="1"/>
    <col min="195" max="195" width="10" style="30" customWidth="1"/>
    <col min="196" max="199" width="8.25" style="30" customWidth="1"/>
    <col min="200" max="200" width="8" style="30" customWidth="1"/>
    <col min="201" max="203" width="8.25" style="30" customWidth="1"/>
    <col min="204" max="204" width="8.125" style="30" customWidth="1"/>
    <col min="205" max="206" width="6.625" style="30" customWidth="1"/>
    <col min="207" max="208" width="8.25" style="30" customWidth="1"/>
    <col min="209" max="209" width="6.625" style="30" customWidth="1"/>
    <col min="210" max="210" width="8.625" style="30" customWidth="1"/>
    <col min="211" max="222" width="10.875" style="30" customWidth="1"/>
    <col min="223" max="224" width="8.125" style="30" customWidth="1"/>
    <col min="225" max="226" width="9.25" style="30" customWidth="1"/>
    <col min="227" max="227" width="10.75" style="30" customWidth="1"/>
    <col min="228" max="228" width="14.75" style="30" customWidth="1"/>
    <col min="229" max="229" width="10.75" style="30" customWidth="1"/>
    <col min="230" max="231" width="15.875" style="30" customWidth="1"/>
    <col min="232" max="232" width="13.5" style="30" customWidth="1"/>
    <col min="233" max="233" width="10.5" style="30" customWidth="1"/>
    <col min="234" max="234" width="13.125" style="30" customWidth="1"/>
    <col min="235" max="244" width="10.5" style="30" customWidth="1"/>
    <col min="245" max="289" width="9.25" style="30" customWidth="1"/>
    <col min="290" max="16384" width="2.5" style="30"/>
  </cols>
  <sheetData>
    <row r="1" spans="1:244" ht="15" customHeight="1">
      <c r="HR1" s="32"/>
      <c r="HS1" s="32"/>
      <c r="HT1" s="32"/>
      <c r="HU1" s="32"/>
      <c r="HV1" s="32"/>
      <c r="HW1" s="32"/>
      <c r="HX1" s="32"/>
      <c r="HY1" s="32"/>
      <c r="HZ1" s="32"/>
      <c r="IA1" s="32"/>
      <c r="IB1" s="32"/>
      <c r="IC1" s="32"/>
      <c r="ID1" s="32"/>
      <c r="IE1" s="32"/>
      <c r="IF1" s="32"/>
      <c r="IG1" s="32"/>
    </row>
    <row r="2" spans="1:244" ht="15" customHeight="1">
      <c r="FT2" s="30">
        <f>825*1.25</f>
        <v>1031.25</v>
      </c>
      <c r="HR2" s="32"/>
      <c r="HS2" s="48"/>
      <c r="HT2" s="48"/>
      <c r="HU2" s="66"/>
      <c r="HV2" s="66"/>
      <c r="HW2" s="66"/>
      <c r="HX2" s="32"/>
      <c r="HY2" s="67"/>
      <c r="HZ2" s="67"/>
      <c r="IA2" s="66"/>
      <c r="IB2" s="66"/>
      <c r="IC2" s="66"/>
      <c r="ID2" s="66"/>
      <c r="IE2" s="66"/>
      <c r="IF2" s="66"/>
      <c r="IG2" s="32"/>
    </row>
    <row r="3" spans="1:244" ht="15" customHeight="1">
      <c r="BB3" s="30" t="s">
        <v>61</v>
      </c>
      <c r="BP3" s="30" t="s">
        <v>56</v>
      </c>
      <c r="HR3" s="32"/>
      <c r="HS3" s="48"/>
      <c r="HT3" s="67"/>
      <c r="HU3" s="66"/>
      <c r="HV3" s="66"/>
      <c r="HW3" s="66"/>
      <c r="HX3" s="32"/>
      <c r="HY3" s="67"/>
      <c r="HZ3" s="67"/>
      <c r="IA3" s="66"/>
      <c r="IB3" s="66"/>
      <c r="IC3" s="66"/>
      <c r="ID3" s="66"/>
      <c r="IE3" s="66"/>
      <c r="IF3" s="66"/>
      <c r="IG3" s="32"/>
    </row>
    <row r="4" spans="1:244" ht="15" customHeight="1">
      <c r="CK4" s="104" t="s">
        <v>75</v>
      </c>
      <c r="CL4" s="104"/>
      <c r="CM4" s="104" t="s">
        <v>76</v>
      </c>
      <c r="CN4" s="104"/>
      <c r="CO4" s="105" t="s">
        <v>77</v>
      </c>
      <c r="CP4" s="105"/>
      <c r="CQ4" s="105"/>
      <c r="CR4" s="105"/>
      <c r="CS4" s="104" t="s">
        <v>33</v>
      </c>
      <c r="CT4" s="104" t="s">
        <v>76</v>
      </c>
      <c r="CU4" s="104"/>
      <c r="CV4" s="105" t="s">
        <v>117</v>
      </c>
      <c r="CW4" s="105"/>
      <c r="CX4" s="105"/>
      <c r="CY4" s="105"/>
      <c r="CZ4" s="105"/>
      <c r="DA4" s="105"/>
      <c r="DB4" s="105"/>
      <c r="DC4" s="105"/>
      <c r="DD4" s="104" t="s">
        <v>33</v>
      </c>
      <c r="DE4" s="104" t="s">
        <v>76</v>
      </c>
      <c r="DF4" s="104"/>
      <c r="DG4" s="106" t="s">
        <v>119</v>
      </c>
      <c r="DH4" s="106"/>
      <c r="DI4" s="106"/>
      <c r="DJ4" s="106"/>
      <c r="DK4" s="106"/>
      <c r="DL4" s="106"/>
      <c r="DM4" s="106"/>
      <c r="DN4" s="106"/>
      <c r="DO4" s="106"/>
      <c r="DP4" s="106"/>
      <c r="DQ4" s="106"/>
      <c r="DR4" s="106"/>
      <c r="DS4" s="104" t="s">
        <v>33</v>
      </c>
      <c r="DT4" s="104" t="s">
        <v>136</v>
      </c>
      <c r="DU4" s="104"/>
      <c r="DV4" s="24" t="s">
        <v>134</v>
      </c>
      <c r="DW4" s="21"/>
      <c r="DX4" s="21"/>
      <c r="DY4" s="21"/>
      <c r="DZ4" s="21"/>
      <c r="EA4" s="21"/>
      <c r="EB4" s="21"/>
      <c r="EC4" s="21"/>
      <c r="ED4" s="21"/>
      <c r="EE4" s="21"/>
      <c r="EF4" s="21"/>
      <c r="EG4" s="2"/>
      <c r="EH4" s="25" t="s">
        <v>135</v>
      </c>
      <c r="EI4" s="22"/>
      <c r="EJ4" s="22"/>
      <c r="EK4" s="22"/>
      <c r="EL4" s="22"/>
      <c r="EM4" s="22"/>
      <c r="EN4" s="22"/>
      <c r="EO4" s="22"/>
      <c r="EP4" s="22"/>
      <c r="EQ4" s="22"/>
      <c r="ER4" s="22"/>
      <c r="ET4" s="104" t="s">
        <v>137</v>
      </c>
      <c r="EZ4" s="30" t="s">
        <v>189</v>
      </c>
      <c r="FB4" s="30" t="s">
        <v>33</v>
      </c>
      <c r="FC4" s="104">
        <f>SQRT(DH6^2+DN6^2)</f>
        <v>0.9819812268487238</v>
      </c>
      <c r="FD4" s="104"/>
      <c r="FE4" s="104"/>
      <c r="FF4" s="104"/>
      <c r="FG4" s="104"/>
      <c r="FH4" s="104"/>
      <c r="FI4" s="3" t="s">
        <v>192</v>
      </c>
      <c r="FO4" s="30" t="s">
        <v>198</v>
      </c>
      <c r="HR4" s="32"/>
      <c r="HS4" s="48"/>
      <c r="HT4" s="67"/>
      <c r="HU4" s="66"/>
      <c r="HV4" s="66"/>
      <c r="HW4" s="66"/>
      <c r="HX4" s="32"/>
      <c r="HY4" s="67"/>
      <c r="HZ4" s="67"/>
      <c r="IA4" s="66"/>
      <c r="IB4" s="66"/>
      <c r="IC4" s="66"/>
      <c r="ID4" s="66"/>
      <c r="IE4" s="66"/>
      <c r="IF4" s="66"/>
      <c r="IG4" s="32"/>
    </row>
    <row r="5" spans="1:244" ht="15" customHeight="1">
      <c r="J5" s="30" t="s">
        <v>1</v>
      </c>
      <c r="T5" s="30" t="s">
        <v>2</v>
      </c>
      <c r="CK5" s="104"/>
      <c r="CL5" s="104"/>
      <c r="CM5" s="104"/>
      <c r="CN5" s="104"/>
      <c r="CO5" s="110" t="s">
        <v>62</v>
      </c>
      <c r="CP5" s="110"/>
      <c r="CQ5" s="110"/>
      <c r="CR5" s="110"/>
      <c r="CS5" s="104"/>
      <c r="CT5" s="104"/>
      <c r="CU5" s="104"/>
      <c r="CV5" s="111" t="s">
        <v>116</v>
      </c>
      <c r="CW5" s="111"/>
      <c r="CX5" s="111"/>
      <c r="CY5" s="111"/>
      <c r="CZ5" s="111"/>
      <c r="DA5" s="111"/>
      <c r="DB5" s="111"/>
      <c r="DC5" s="111"/>
      <c r="DD5" s="104"/>
      <c r="DE5" s="104"/>
      <c r="DF5" s="104"/>
      <c r="DG5" s="112" t="s">
        <v>118</v>
      </c>
      <c r="DH5" s="112"/>
      <c r="DI5" s="112"/>
      <c r="DJ5" s="112"/>
      <c r="DK5" s="112"/>
      <c r="DL5" s="112"/>
      <c r="DM5" s="112"/>
      <c r="DN5" s="112"/>
      <c r="DO5" s="112"/>
      <c r="DP5" s="112"/>
      <c r="DQ5" s="112"/>
      <c r="DR5" s="112"/>
      <c r="DS5" s="104"/>
      <c r="DT5" s="104"/>
      <c r="DU5" s="104"/>
      <c r="DV5" s="112" t="s">
        <v>118</v>
      </c>
      <c r="DW5" s="112"/>
      <c r="DX5" s="112"/>
      <c r="DY5" s="112"/>
      <c r="DZ5" s="112"/>
      <c r="EA5" s="112"/>
      <c r="EB5" s="112"/>
      <c r="EC5" s="112"/>
      <c r="ED5" s="112"/>
      <c r="EE5" s="112"/>
      <c r="EF5" s="112"/>
      <c r="EG5" s="2"/>
      <c r="EH5" s="112" t="s">
        <v>118</v>
      </c>
      <c r="EI5" s="112"/>
      <c r="EJ5" s="112"/>
      <c r="EK5" s="112"/>
      <c r="EL5" s="112"/>
      <c r="EM5" s="112"/>
      <c r="EN5" s="112"/>
      <c r="EO5" s="112"/>
      <c r="EP5" s="112"/>
      <c r="EQ5" s="112"/>
      <c r="ER5" s="112"/>
      <c r="ET5" s="104"/>
      <c r="FO5" s="30" t="s">
        <v>290</v>
      </c>
      <c r="HR5" s="32"/>
      <c r="HS5" s="48"/>
      <c r="HT5" s="67"/>
      <c r="HU5" s="66"/>
      <c r="HV5" s="66"/>
      <c r="HW5" s="66"/>
      <c r="HX5" s="32"/>
      <c r="HY5" s="67"/>
      <c r="HZ5" s="67"/>
      <c r="IA5" s="66"/>
      <c r="IB5" s="66"/>
      <c r="IC5" s="66"/>
      <c r="ID5" s="66"/>
      <c r="IE5" s="66"/>
      <c r="IF5" s="66"/>
      <c r="IG5" s="32"/>
    </row>
    <row r="6" spans="1:244" ht="15" customHeight="1">
      <c r="N6" s="31"/>
      <c r="O6" s="31"/>
      <c r="P6" s="31"/>
      <c r="Q6" s="31"/>
      <c r="R6" s="31"/>
      <c r="S6" s="31"/>
      <c r="AJ6" s="31"/>
      <c r="AK6" s="31"/>
      <c r="AL6" s="31"/>
      <c r="AM6" s="31"/>
      <c r="AN6" s="31" t="s">
        <v>57</v>
      </c>
      <c r="AO6" s="31"/>
      <c r="AQ6" s="30" t="s">
        <v>57</v>
      </c>
      <c r="AV6" s="30" t="s">
        <v>72</v>
      </c>
      <c r="BE6" s="30" t="s">
        <v>73</v>
      </c>
      <c r="BJ6" s="30" t="s">
        <v>74</v>
      </c>
      <c r="CB6" s="30" t="s">
        <v>60</v>
      </c>
      <c r="CD6" s="30" t="s">
        <v>59</v>
      </c>
      <c r="CM6" s="104" t="s">
        <v>136</v>
      </c>
      <c r="CN6" s="104"/>
      <c r="CO6" s="106">
        <f>AZ58*(CX30+AZ58)+BF58*(DC30+BF58)</f>
        <v>336723.02102826751</v>
      </c>
      <c r="CP6" s="106"/>
      <c r="CQ6" s="106"/>
      <c r="CR6" s="106"/>
      <c r="CS6" s="106"/>
      <c r="CT6" s="106"/>
      <c r="CU6" s="106"/>
      <c r="CV6" s="107" t="s">
        <v>115</v>
      </c>
      <c r="CW6" s="104"/>
      <c r="CX6" s="106">
        <f>BF58*(CX30+AZ58)-AZ58*(DC30+BF58)</f>
        <v>-30407.666261106104</v>
      </c>
      <c r="CY6" s="106"/>
      <c r="CZ6" s="106"/>
      <c r="DA6" s="106"/>
      <c r="DB6" s="106"/>
      <c r="DC6" s="106"/>
      <c r="DD6" s="104" t="s">
        <v>137</v>
      </c>
      <c r="DE6" s="104" t="s">
        <v>33</v>
      </c>
      <c r="DF6" s="108" t="s">
        <v>136</v>
      </c>
      <c r="DG6" s="108"/>
      <c r="DH6" s="114">
        <f>CO6/CO7</f>
        <v>0.9780015537872272</v>
      </c>
      <c r="DI6" s="114"/>
      <c r="DJ6" s="114"/>
      <c r="DK6" s="114"/>
      <c r="DL6" s="109" t="s">
        <v>115</v>
      </c>
      <c r="DM6" s="108"/>
      <c r="DN6" s="114">
        <f>(CX6/CX7)</f>
        <v>-8.8318121997095891E-2</v>
      </c>
      <c r="DO6" s="114"/>
      <c r="DP6" s="114"/>
      <c r="DQ6" s="114"/>
      <c r="DR6" s="108" t="s">
        <v>137</v>
      </c>
      <c r="DS6" s="108" t="s">
        <v>33</v>
      </c>
      <c r="DT6" s="108" t="s">
        <v>136</v>
      </c>
      <c r="DU6" s="108"/>
      <c r="DV6" s="108" t="s">
        <v>138</v>
      </c>
      <c r="DW6" s="108"/>
      <c r="DX6" s="109" t="s">
        <v>115</v>
      </c>
      <c r="DY6" s="108"/>
      <c r="DZ6" s="108" t="s">
        <v>148</v>
      </c>
      <c r="EA6" s="108"/>
      <c r="EB6" s="108" t="s">
        <v>137</v>
      </c>
      <c r="FP6" s="63" t="s">
        <v>202</v>
      </c>
      <c r="FQ6" s="63" t="s">
        <v>50</v>
      </c>
      <c r="FT6" s="36" t="s">
        <v>280</v>
      </c>
      <c r="HR6" s="32"/>
      <c r="HS6" s="48"/>
      <c r="HT6" s="67"/>
      <c r="HU6" s="66"/>
      <c r="HV6" s="66"/>
      <c r="HW6" s="66"/>
      <c r="HX6" s="32"/>
      <c r="HY6" s="67"/>
      <c r="HZ6" s="67"/>
      <c r="IA6" s="66"/>
      <c r="IB6" s="66"/>
      <c r="IC6" s="66"/>
      <c r="ID6" s="66"/>
      <c r="IE6" s="66"/>
      <c r="IF6" s="66"/>
      <c r="IG6" s="32"/>
    </row>
    <row r="7" spans="1:244" ht="15" customHeight="1">
      <c r="M7" s="30" t="s">
        <v>11</v>
      </c>
      <c r="W7" s="30" t="s">
        <v>12</v>
      </c>
      <c r="AN7" s="4"/>
      <c r="CM7" s="104"/>
      <c r="CN7" s="104"/>
      <c r="CO7" s="108">
        <f>(CX30+AZ58)^2+(DC30+BF58)^2</f>
        <v>344297.02051529108</v>
      </c>
      <c r="CP7" s="108"/>
      <c r="CQ7" s="108"/>
      <c r="CR7" s="108"/>
      <c r="CS7" s="108"/>
      <c r="CT7" s="108"/>
      <c r="CU7" s="108"/>
      <c r="CV7" s="104"/>
      <c r="CW7" s="104"/>
      <c r="CX7" s="108">
        <f>CO7</f>
        <v>344297.02051529108</v>
      </c>
      <c r="CY7" s="108"/>
      <c r="CZ7" s="108"/>
      <c r="DA7" s="108"/>
      <c r="DB7" s="108"/>
      <c r="DC7" s="108"/>
      <c r="DD7" s="104"/>
      <c r="DE7" s="104"/>
      <c r="DF7" s="108"/>
      <c r="DG7" s="108"/>
      <c r="DH7" s="114"/>
      <c r="DI7" s="114"/>
      <c r="DJ7" s="114"/>
      <c r="DK7" s="114"/>
      <c r="DL7" s="108"/>
      <c r="DM7" s="108"/>
      <c r="DN7" s="114"/>
      <c r="DO7" s="114"/>
      <c r="DP7" s="114"/>
      <c r="DQ7" s="114"/>
      <c r="DR7" s="108"/>
      <c r="DS7" s="108"/>
      <c r="DT7" s="108"/>
      <c r="DU7" s="108"/>
      <c r="DV7" s="108"/>
      <c r="DW7" s="108"/>
      <c r="DX7" s="108"/>
      <c r="DY7" s="108"/>
      <c r="DZ7" s="108"/>
      <c r="EA7" s="108"/>
      <c r="EB7" s="108"/>
      <c r="EZ7" s="30" t="s">
        <v>190</v>
      </c>
      <c r="FC7" s="104">
        <f>SQRT(DF10^2+DM10^2)</f>
        <v>0.9761826454125424</v>
      </c>
      <c r="FD7" s="104"/>
      <c r="FE7" s="104"/>
      <c r="FF7" s="104"/>
      <c r="FG7" s="104"/>
      <c r="FH7" s="104"/>
      <c r="FI7" s="3" t="s">
        <v>191</v>
      </c>
      <c r="FO7" s="30" t="s">
        <v>199</v>
      </c>
      <c r="FP7" s="15">
        <v>3183</v>
      </c>
      <c r="FQ7" s="28">
        <f>1/(2*PI()*FP7)*1000000</f>
        <v>50.001552966351028</v>
      </c>
      <c r="FT7" s="36" t="s">
        <v>281</v>
      </c>
      <c r="HR7" s="32"/>
      <c r="HS7" s="48"/>
      <c r="HT7" s="67"/>
      <c r="HU7" s="66"/>
      <c r="HV7" s="66"/>
      <c r="HW7" s="66"/>
      <c r="HX7" s="32"/>
      <c r="HY7" s="67"/>
      <c r="HZ7" s="67"/>
      <c r="IA7" s="66"/>
      <c r="IB7" s="66"/>
      <c r="IC7" s="66"/>
      <c r="ID7" s="66"/>
      <c r="IE7" s="66"/>
      <c r="IF7" s="66"/>
      <c r="IG7" s="32"/>
    </row>
    <row r="8" spans="1:244" ht="15" customHeight="1">
      <c r="AB8" s="5"/>
      <c r="AD8" s="6"/>
      <c r="CB8" s="30" t="s">
        <v>63</v>
      </c>
      <c r="CE8" s="30" t="s">
        <v>62</v>
      </c>
      <c r="CL8" s="104" t="s">
        <v>78</v>
      </c>
      <c r="CM8" s="104"/>
      <c r="CN8" s="104" t="s">
        <v>79</v>
      </c>
      <c r="CO8" s="104"/>
      <c r="CP8" s="105" t="s">
        <v>80</v>
      </c>
      <c r="CQ8" s="105"/>
      <c r="CR8" s="105"/>
      <c r="CS8" s="104" t="s">
        <v>33</v>
      </c>
      <c r="CT8" s="104" t="s">
        <v>79</v>
      </c>
      <c r="CU8" s="104"/>
      <c r="CV8" s="106" t="s">
        <v>140</v>
      </c>
      <c r="CW8" s="106"/>
      <c r="CX8" s="106"/>
      <c r="CY8" s="106"/>
      <c r="CZ8" s="106"/>
      <c r="DA8" s="106"/>
      <c r="DB8" s="106"/>
      <c r="DC8" s="106"/>
      <c r="DD8" s="106"/>
      <c r="DE8" s="106"/>
      <c r="DF8" s="106"/>
      <c r="DG8" s="104" t="s">
        <v>33</v>
      </c>
      <c r="DH8" s="104" t="s">
        <v>144</v>
      </c>
      <c r="DI8" s="104"/>
      <c r="DJ8" s="106" t="s">
        <v>142</v>
      </c>
      <c r="DK8" s="106"/>
      <c r="DL8" s="106"/>
      <c r="DM8" s="106"/>
      <c r="DN8" s="106"/>
      <c r="DO8" s="106"/>
      <c r="DP8" s="106"/>
      <c r="DQ8" s="106"/>
      <c r="DR8" s="106"/>
      <c r="DS8" s="106"/>
      <c r="DT8" s="107" t="s">
        <v>115</v>
      </c>
      <c r="DU8" s="104"/>
      <c r="DV8" s="106" t="s">
        <v>143</v>
      </c>
      <c r="DW8" s="106"/>
      <c r="DX8" s="106"/>
      <c r="DY8" s="106"/>
      <c r="DZ8" s="106"/>
      <c r="EA8" s="106"/>
      <c r="EB8" s="106"/>
      <c r="EC8" s="106"/>
      <c r="ED8" s="106"/>
      <c r="EE8" s="106"/>
      <c r="EF8" s="113" t="s">
        <v>137</v>
      </c>
      <c r="FO8" s="30" t="s">
        <v>200</v>
      </c>
      <c r="FP8" s="15">
        <v>318.3</v>
      </c>
      <c r="FQ8" s="28">
        <f>1/(2*PI()*FP8)*1000000</f>
        <v>500.01552966351034</v>
      </c>
      <c r="FT8" s="36" t="s">
        <v>286</v>
      </c>
      <c r="HR8" s="32"/>
      <c r="HS8" s="48"/>
      <c r="HT8" s="67"/>
      <c r="HU8" s="66"/>
      <c r="HV8" s="66"/>
      <c r="HW8" s="66"/>
      <c r="HX8" s="32"/>
      <c r="HY8" s="67"/>
      <c r="HZ8" s="67"/>
      <c r="IA8" s="66"/>
      <c r="IB8" s="66"/>
      <c r="IC8" s="66"/>
      <c r="ID8" s="66"/>
      <c r="IE8" s="66"/>
      <c r="IF8" s="66"/>
      <c r="IG8" s="32"/>
    </row>
    <row r="9" spans="1:244" ht="15" customHeight="1">
      <c r="E9" s="63"/>
      <c r="AZ9" s="7"/>
      <c r="CL9" s="104"/>
      <c r="CM9" s="104"/>
      <c r="CN9" s="104"/>
      <c r="CO9" s="104"/>
      <c r="CP9" s="111" t="s">
        <v>61</v>
      </c>
      <c r="CQ9" s="111"/>
      <c r="CR9" s="111"/>
      <c r="CS9" s="104"/>
      <c r="CT9" s="104"/>
      <c r="CU9" s="104"/>
      <c r="CV9" s="112" t="s">
        <v>139</v>
      </c>
      <c r="CW9" s="112"/>
      <c r="CX9" s="112"/>
      <c r="CY9" s="112"/>
      <c r="CZ9" s="112"/>
      <c r="DA9" s="112"/>
      <c r="DB9" s="112"/>
      <c r="DC9" s="112"/>
      <c r="DD9" s="112"/>
      <c r="DE9" s="112"/>
      <c r="DF9" s="112"/>
      <c r="DG9" s="104"/>
      <c r="DH9" s="104"/>
      <c r="DI9" s="104"/>
      <c r="DJ9" s="108" t="s">
        <v>141</v>
      </c>
      <c r="DK9" s="108"/>
      <c r="DL9" s="108"/>
      <c r="DM9" s="108"/>
      <c r="DN9" s="108"/>
      <c r="DO9" s="108"/>
      <c r="DP9" s="108"/>
      <c r="DQ9" s="108"/>
      <c r="DR9" s="108"/>
      <c r="DS9" s="108"/>
      <c r="DT9" s="104"/>
      <c r="DU9" s="104"/>
      <c r="DV9" s="108" t="s">
        <v>141</v>
      </c>
      <c r="DW9" s="108"/>
      <c r="DX9" s="108"/>
      <c r="DY9" s="108"/>
      <c r="DZ9" s="108"/>
      <c r="EA9" s="108"/>
      <c r="EB9" s="108"/>
      <c r="EC9" s="108"/>
      <c r="ED9" s="108"/>
      <c r="EE9" s="108"/>
      <c r="EF9" s="113"/>
      <c r="FO9" s="30" t="s">
        <v>201</v>
      </c>
      <c r="FP9" s="30">
        <v>75</v>
      </c>
      <c r="FQ9" s="28">
        <f>1/(2*PI()*FP9)*1000000</f>
        <v>2122.065907891938</v>
      </c>
      <c r="FT9" s="36" t="s">
        <v>282</v>
      </c>
      <c r="HR9" s="32"/>
      <c r="HS9" s="48"/>
      <c r="HT9" s="48"/>
      <c r="HU9" s="66"/>
      <c r="HV9" s="66"/>
      <c r="HW9" s="66"/>
      <c r="HX9" s="32"/>
      <c r="HY9" s="48"/>
      <c r="HZ9" s="48"/>
      <c r="IA9" s="66"/>
      <c r="IB9" s="66"/>
      <c r="IC9" s="66"/>
      <c r="ID9" s="66"/>
      <c r="IE9" s="66"/>
      <c r="IF9" s="66"/>
      <c r="IG9" s="32"/>
    </row>
    <row r="10" spans="1:244" ht="15" customHeight="1">
      <c r="H10" s="30" t="s">
        <v>3</v>
      </c>
      <c r="M10" s="30" t="s">
        <v>3</v>
      </c>
      <c r="R10" s="30" t="s">
        <v>4</v>
      </c>
      <c r="W10" s="30" t="s">
        <v>4</v>
      </c>
      <c r="CD10" s="104" t="s">
        <v>33</v>
      </c>
      <c r="CE10" s="104" t="s">
        <v>64</v>
      </c>
      <c r="CF10" s="104"/>
      <c r="CG10" s="105" t="s">
        <v>65</v>
      </c>
      <c r="CH10" s="105"/>
      <c r="CI10" s="105"/>
      <c r="CM10" s="104" t="s">
        <v>33</v>
      </c>
      <c r="CN10" s="104" t="s">
        <v>144</v>
      </c>
      <c r="CO10" s="104"/>
      <c r="CP10" s="106">
        <f>BP50*(BP50-CX30)+BV50*(BV50-DC30)</f>
        <v>367464.51528768765</v>
      </c>
      <c r="CQ10" s="106"/>
      <c r="CR10" s="106"/>
      <c r="CS10" s="106"/>
      <c r="CT10" s="106"/>
      <c r="CU10" s="107" t="s">
        <v>115</v>
      </c>
      <c r="CV10" s="104"/>
      <c r="CW10" s="106">
        <f>(BP50*(BV50-DC30)-BV50*(BP50-CX30))</f>
        <v>-31161.837607838705</v>
      </c>
      <c r="CX10" s="106"/>
      <c r="CY10" s="106"/>
      <c r="CZ10" s="106"/>
      <c r="DA10" s="106"/>
      <c r="DB10" s="104" t="s">
        <v>137</v>
      </c>
      <c r="DC10" s="104" t="s">
        <v>33</v>
      </c>
      <c r="DD10" s="108" t="s">
        <v>144</v>
      </c>
      <c r="DE10" s="108"/>
      <c r="DF10" s="117">
        <f>CP10/CP11</f>
        <v>0.97269138954182177</v>
      </c>
      <c r="DG10" s="117"/>
      <c r="DH10" s="117"/>
      <c r="DI10" s="117"/>
      <c r="DJ10" s="117"/>
      <c r="DK10" s="115" t="s">
        <v>115</v>
      </c>
      <c r="DL10" s="116"/>
      <c r="DM10" s="117">
        <f>CW10/CW11</f>
        <v>-8.2486471107869802E-2</v>
      </c>
      <c r="DN10" s="117"/>
      <c r="DO10" s="117"/>
      <c r="DP10" s="117"/>
      <c r="DQ10" s="117"/>
      <c r="DR10" s="108" t="s">
        <v>137</v>
      </c>
      <c r="DS10" s="108" t="s">
        <v>33</v>
      </c>
      <c r="DT10" s="108" t="s">
        <v>144</v>
      </c>
      <c r="DU10" s="108"/>
      <c r="DV10" s="108" t="s">
        <v>145</v>
      </c>
      <c r="DW10" s="108"/>
      <c r="DX10" s="109" t="s">
        <v>115</v>
      </c>
      <c r="DY10" s="108"/>
      <c r="DZ10" s="108" t="s">
        <v>149</v>
      </c>
      <c r="EA10" s="108"/>
      <c r="EB10" s="108" t="s">
        <v>137</v>
      </c>
      <c r="EC10" s="2"/>
      <c r="EZ10" s="30" t="s">
        <v>193</v>
      </c>
      <c r="FC10" s="104">
        <f>SQRT(DL18^2+DR18^2)</f>
        <v>0.9982502958574373</v>
      </c>
      <c r="FD10" s="104"/>
      <c r="FE10" s="104"/>
      <c r="FF10" s="104"/>
      <c r="FG10" s="104"/>
      <c r="FH10" s="104"/>
      <c r="FI10" s="3" t="s">
        <v>195</v>
      </c>
      <c r="FO10" s="30" t="s">
        <v>283</v>
      </c>
      <c r="FP10" s="30">
        <f>FP7/FP8</f>
        <v>10</v>
      </c>
      <c r="FT10" s="30" t="s">
        <v>6</v>
      </c>
      <c r="FZ10" s="30" t="s">
        <v>289</v>
      </c>
      <c r="HR10" s="32"/>
      <c r="HS10" s="48"/>
      <c r="HT10" s="48"/>
      <c r="HU10" s="66"/>
      <c r="HV10" s="66"/>
      <c r="HW10" s="66"/>
      <c r="HX10" s="32"/>
      <c r="HY10" s="48"/>
      <c r="HZ10" s="48"/>
      <c r="IA10" s="66"/>
      <c r="IB10" s="66"/>
      <c r="IC10" s="66"/>
      <c r="ID10" s="66"/>
      <c r="IE10" s="66"/>
      <c r="IF10" s="66"/>
      <c r="IG10" s="32"/>
    </row>
    <row r="11" spans="1:244" ht="15" customHeight="1">
      <c r="AG11" s="8"/>
      <c r="CD11" s="104"/>
      <c r="CE11" s="104"/>
      <c r="CF11" s="104"/>
      <c r="CG11" s="111" t="s">
        <v>66</v>
      </c>
      <c r="CH11" s="111"/>
      <c r="CI11" s="111"/>
      <c r="CM11" s="104"/>
      <c r="CN11" s="104"/>
      <c r="CO11" s="104"/>
      <c r="CP11" s="108">
        <f>(BP50^2+BV50^2)</f>
        <v>377781.19477420149</v>
      </c>
      <c r="CQ11" s="108"/>
      <c r="CR11" s="108"/>
      <c r="CS11" s="108"/>
      <c r="CT11" s="108"/>
      <c r="CU11" s="104"/>
      <c r="CV11" s="104"/>
      <c r="CW11" s="108">
        <f>CP11</f>
        <v>377781.19477420149</v>
      </c>
      <c r="CX11" s="108"/>
      <c r="CY11" s="108"/>
      <c r="CZ11" s="108"/>
      <c r="DA11" s="108"/>
      <c r="DB11" s="104"/>
      <c r="DC11" s="104"/>
      <c r="DD11" s="108"/>
      <c r="DE11" s="108"/>
      <c r="DF11" s="117"/>
      <c r="DG11" s="117"/>
      <c r="DH11" s="117"/>
      <c r="DI11" s="117"/>
      <c r="DJ11" s="117"/>
      <c r="DK11" s="116"/>
      <c r="DL11" s="116"/>
      <c r="DM11" s="117"/>
      <c r="DN11" s="117"/>
      <c r="DO11" s="117"/>
      <c r="DP11" s="117"/>
      <c r="DQ11" s="117"/>
      <c r="DR11" s="108"/>
      <c r="DS11" s="108"/>
      <c r="DT11" s="108"/>
      <c r="DU11" s="108"/>
      <c r="DV11" s="108"/>
      <c r="DW11" s="108"/>
      <c r="DX11" s="108"/>
      <c r="DY11" s="108"/>
      <c r="DZ11" s="108"/>
      <c r="EA11" s="108"/>
      <c r="EB11" s="108"/>
      <c r="EC11" s="2"/>
      <c r="FO11" s="65" t="s">
        <v>38</v>
      </c>
      <c r="FP11" s="75">
        <v>491</v>
      </c>
      <c r="FQ11" s="30" t="s">
        <v>43</v>
      </c>
      <c r="FT11" s="30" t="s">
        <v>2</v>
      </c>
      <c r="FY11" s="65" t="s">
        <v>38</v>
      </c>
      <c r="FZ11" s="30">
        <f>FP15*(FP10-1)/(FP10+1)</f>
        <v>490.90909090909093</v>
      </c>
      <c r="GA11" s="30" t="s">
        <v>43</v>
      </c>
      <c r="HI11" s="30" t="s">
        <v>310</v>
      </c>
      <c r="HR11" s="32"/>
      <c r="HS11" s="2"/>
      <c r="HT11" s="2" t="s">
        <v>320</v>
      </c>
      <c r="HU11" s="1"/>
      <c r="HV11" s="2"/>
      <c r="HX11" s="2"/>
      <c r="HY11" s="2"/>
      <c r="HZ11" s="2"/>
      <c r="IA11" s="2"/>
      <c r="IE11" s="2"/>
      <c r="IF11" s="2"/>
      <c r="IG11" s="2"/>
      <c r="IH11" s="2"/>
      <c r="II11" s="2"/>
      <c r="IJ11" s="2"/>
    </row>
    <row r="12" spans="1:244" ht="15" customHeight="1">
      <c r="J12" s="8"/>
      <c r="AR12" s="30" t="s">
        <v>23</v>
      </c>
      <c r="BF12" s="30" t="s">
        <v>24</v>
      </c>
      <c r="CM12" s="30" t="s">
        <v>33</v>
      </c>
      <c r="CN12" s="30" t="s">
        <v>146</v>
      </c>
      <c r="CW12" s="30" t="s">
        <v>33</v>
      </c>
      <c r="CX12" s="30" t="s">
        <v>147</v>
      </c>
      <c r="FO12" s="65" t="s">
        <v>39</v>
      </c>
      <c r="FP12" s="26">
        <v>600</v>
      </c>
      <c r="FQ12" s="30" t="s">
        <v>43</v>
      </c>
      <c r="FY12" s="65"/>
      <c r="HI12" s="30" t="s">
        <v>311</v>
      </c>
      <c r="HR12" s="32"/>
      <c r="HS12" s="2"/>
      <c r="HT12" s="2" t="s">
        <v>321</v>
      </c>
      <c r="HU12" s="2"/>
      <c r="HV12" s="2"/>
      <c r="HW12" s="2"/>
      <c r="HX12" s="2"/>
      <c r="HY12" s="2"/>
      <c r="HZ12" s="2"/>
      <c r="IA12" s="2"/>
      <c r="IE12" s="2"/>
      <c r="IF12" s="2"/>
      <c r="IG12" s="2"/>
      <c r="IH12" s="2"/>
      <c r="II12" s="2"/>
      <c r="IJ12" s="2"/>
    </row>
    <row r="13" spans="1:244" ht="15" customHeight="1">
      <c r="AL13" s="8"/>
      <c r="CM13" s="30" t="s">
        <v>33</v>
      </c>
      <c r="CN13" s="15" t="s">
        <v>136</v>
      </c>
      <c r="CO13" s="15"/>
      <c r="CP13" s="114">
        <f>DH6*DF10-DN6*DM10</f>
        <v>0.94400864010894403</v>
      </c>
      <c r="CQ13" s="114"/>
      <c r="CR13" s="114"/>
      <c r="CS13" s="114"/>
      <c r="CT13" s="114"/>
      <c r="CU13" s="118" t="s">
        <v>115</v>
      </c>
      <c r="CV13" s="118"/>
      <c r="CW13" s="114">
        <f>DN6*DF10+DH6*DM10</f>
        <v>-0.16657817371700123</v>
      </c>
      <c r="CX13" s="114"/>
      <c r="CY13" s="114"/>
      <c r="CZ13" s="114"/>
      <c r="DA13" s="114"/>
      <c r="DB13" s="15" t="s">
        <v>137</v>
      </c>
      <c r="DC13" s="15" t="s">
        <v>33</v>
      </c>
      <c r="DD13" s="15" t="s">
        <v>136</v>
      </c>
      <c r="DE13" s="15"/>
      <c r="DF13" s="15" t="s">
        <v>150</v>
      </c>
      <c r="DG13" s="15"/>
      <c r="DH13" s="118" t="s">
        <v>151</v>
      </c>
      <c r="DI13" s="118"/>
      <c r="DJ13" s="15" t="s">
        <v>152</v>
      </c>
      <c r="DK13" s="15"/>
      <c r="DL13" s="15" t="s">
        <v>137</v>
      </c>
      <c r="EZ13" s="30" t="s">
        <v>194</v>
      </c>
      <c r="FC13" s="104">
        <f>SQRT(DI24^2+DO24^2)</f>
        <v>0.99824785833768992</v>
      </c>
      <c r="FD13" s="104"/>
      <c r="FE13" s="104"/>
      <c r="FF13" s="104"/>
      <c r="FG13" s="104"/>
      <c r="FH13" s="104"/>
      <c r="FI13" s="3" t="s">
        <v>196</v>
      </c>
      <c r="FO13" s="65" t="s">
        <v>40</v>
      </c>
      <c r="FP13" s="75">
        <v>121</v>
      </c>
      <c r="FQ13" s="30" t="s">
        <v>43</v>
      </c>
      <c r="FT13" s="30" t="s">
        <v>284</v>
      </c>
      <c r="FY13" s="65" t="s">
        <v>40</v>
      </c>
      <c r="FZ13" s="30">
        <f>FP15*2*FP10/(FP10^2-1)</f>
        <v>121.21212121212122</v>
      </c>
      <c r="GA13" s="30" t="s">
        <v>43</v>
      </c>
      <c r="HI13" s="26" t="s">
        <v>312</v>
      </c>
      <c r="HR13" s="32"/>
      <c r="HS13" s="59"/>
      <c r="HT13" s="2" t="s">
        <v>322</v>
      </c>
      <c r="HU13" s="66"/>
      <c r="HV13" s="66"/>
      <c r="HW13" s="66"/>
      <c r="HX13" s="32"/>
      <c r="HY13" s="48"/>
      <c r="HZ13" s="48"/>
      <c r="IA13" s="66"/>
      <c r="IB13" s="66"/>
      <c r="IC13" s="66"/>
      <c r="ID13" s="66"/>
      <c r="IE13" s="66"/>
      <c r="IF13" s="66"/>
      <c r="IG13" s="32"/>
    </row>
    <row r="14" spans="1:244" ht="15" customHeight="1">
      <c r="L14" s="30" t="s">
        <v>8</v>
      </c>
      <c r="AL14" s="4"/>
      <c r="BW14" s="30" t="s">
        <v>58</v>
      </c>
      <c r="CH14" s="2"/>
      <c r="CI14" s="2"/>
      <c r="CJ14" s="2"/>
      <c r="CK14" s="104" t="s">
        <v>81</v>
      </c>
      <c r="CL14" s="104"/>
      <c r="CM14" s="104" t="s">
        <v>82</v>
      </c>
      <c r="CN14" s="104"/>
      <c r="CO14" s="105" t="s">
        <v>83</v>
      </c>
      <c r="CP14" s="105"/>
      <c r="CQ14" s="105"/>
      <c r="CR14" s="105"/>
      <c r="CS14" s="110" t="s">
        <v>33</v>
      </c>
      <c r="CT14" s="104" t="s">
        <v>82</v>
      </c>
      <c r="CU14" s="104"/>
      <c r="CV14" s="106" t="s">
        <v>153</v>
      </c>
      <c r="CW14" s="106"/>
      <c r="CX14" s="106"/>
      <c r="CY14" s="106"/>
      <c r="CZ14" s="106"/>
      <c r="DA14" s="106"/>
      <c r="DB14" s="106"/>
      <c r="DC14" s="106"/>
      <c r="DD14" s="106"/>
      <c r="DE14" s="106"/>
      <c r="DF14" s="106"/>
      <c r="DG14" s="106"/>
      <c r="DH14" s="106"/>
      <c r="DI14" s="106"/>
      <c r="DJ14" s="106"/>
      <c r="DK14" s="106"/>
      <c r="DL14" s="106"/>
      <c r="DM14" s="2"/>
      <c r="FO14" s="65" t="s">
        <v>41</v>
      </c>
      <c r="FP14" s="75">
        <v>12000</v>
      </c>
      <c r="FQ14" s="30" t="s">
        <v>43</v>
      </c>
      <c r="FR14" s="30" t="s">
        <v>285</v>
      </c>
      <c r="FY14" s="65"/>
      <c r="HI14" s="26" t="s">
        <v>316</v>
      </c>
      <c r="HR14" s="32"/>
      <c r="HS14" s="48"/>
      <c r="HT14" s="2" t="s">
        <v>323</v>
      </c>
      <c r="HU14" s="66"/>
      <c r="HV14" s="66"/>
      <c r="HW14" s="66"/>
      <c r="HX14" s="32"/>
      <c r="HY14" s="48"/>
      <c r="HZ14" s="48"/>
      <c r="IA14" s="66"/>
      <c r="IB14" s="66"/>
      <c r="IC14" s="66"/>
      <c r="ID14" s="66"/>
      <c r="IE14" s="66"/>
      <c r="IF14" s="66"/>
      <c r="IG14" s="32"/>
    </row>
    <row r="15" spans="1:244" ht="15" customHeight="1">
      <c r="A15" s="171"/>
      <c r="B15" s="168"/>
      <c r="C15" s="64"/>
      <c r="D15" s="64"/>
      <c r="AY15" s="30" t="s">
        <v>8</v>
      </c>
      <c r="CB15" s="2"/>
      <c r="CC15" s="2"/>
      <c r="CD15" s="2"/>
      <c r="CE15" s="2"/>
      <c r="CF15" s="2"/>
      <c r="CG15" s="2"/>
      <c r="CH15" s="2"/>
      <c r="CI15" s="2"/>
      <c r="CJ15" s="2"/>
      <c r="CK15" s="104"/>
      <c r="CL15" s="104"/>
      <c r="CM15" s="104"/>
      <c r="CN15" s="104"/>
      <c r="CO15" s="111" t="s">
        <v>80</v>
      </c>
      <c r="CP15" s="111"/>
      <c r="CQ15" s="111"/>
      <c r="CR15" s="111"/>
      <c r="CS15" s="110"/>
      <c r="CT15" s="104"/>
      <c r="CU15" s="104"/>
      <c r="CV15" s="116" t="s">
        <v>154</v>
      </c>
      <c r="CW15" s="116"/>
      <c r="CX15" s="116"/>
      <c r="CY15" s="116"/>
      <c r="CZ15" s="116"/>
      <c r="DA15" s="116"/>
      <c r="DB15" s="116"/>
      <c r="DC15" s="116"/>
      <c r="DD15" s="116"/>
      <c r="DE15" s="116"/>
      <c r="DF15" s="116"/>
      <c r="DG15" s="116"/>
      <c r="DH15" s="116"/>
      <c r="DI15" s="116"/>
      <c r="DJ15" s="116"/>
      <c r="DK15" s="116"/>
      <c r="DL15" s="116"/>
      <c r="DM15" s="2"/>
      <c r="FO15" s="65" t="s">
        <v>42</v>
      </c>
      <c r="FP15" s="12">
        <v>600</v>
      </c>
      <c r="FQ15" s="30" t="s">
        <v>43</v>
      </c>
      <c r="FX15" s="2"/>
      <c r="FY15" s="65"/>
      <c r="FZ15" s="2"/>
      <c r="GH15" s="2"/>
      <c r="GI15" s="2"/>
      <c r="GJ15" s="2"/>
      <c r="HI15" s="62" t="s">
        <v>327</v>
      </c>
      <c r="HR15" s="32"/>
      <c r="HS15" s="48" t="s">
        <v>276</v>
      </c>
      <c r="HT15" s="60" t="s">
        <v>324</v>
      </c>
      <c r="HU15" s="66"/>
      <c r="HV15" s="66"/>
      <c r="HW15" s="66"/>
      <c r="HX15" s="32"/>
      <c r="HY15" s="48"/>
      <c r="HZ15" s="48"/>
      <c r="IA15" s="66"/>
      <c r="IB15" s="66"/>
      <c r="IC15" s="66"/>
      <c r="ID15" s="66"/>
      <c r="IE15" s="66"/>
      <c r="IF15" s="66"/>
      <c r="IG15" s="32"/>
    </row>
    <row r="16" spans="1:244" ht="15" customHeight="1">
      <c r="G16" s="9"/>
      <c r="CB16" s="2"/>
      <c r="CC16" s="2"/>
      <c r="CD16" s="2"/>
      <c r="CE16" s="2"/>
      <c r="CF16" s="2"/>
      <c r="CG16" s="2"/>
      <c r="CH16" s="2"/>
      <c r="CI16" s="2"/>
      <c r="CJ16" s="2"/>
      <c r="CS16" s="110" t="s">
        <v>33</v>
      </c>
      <c r="CT16" s="104" t="s">
        <v>157</v>
      </c>
      <c r="CU16" s="104"/>
      <c r="CV16" s="106" t="s">
        <v>156</v>
      </c>
      <c r="CW16" s="106"/>
      <c r="CX16" s="106"/>
      <c r="CY16" s="106"/>
      <c r="CZ16" s="106"/>
      <c r="DA16" s="106"/>
      <c r="DB16" s="106"/>
      <c r="DC16" s="106"/>
      <c r="DD16" s="106"/>
      <c r="DE16" s="106"/>
      <c r="DF16" s="106"/>
      <c r="DG16" s="106"/>
      <c r="DH16" s="106"/>
      <c r="DI16" s="106"/>
      <c r="DJ16" s="106"/>
      <c r="DK16" s="106"/>
      <c r="DL16" s="106"/>
      <c r="DM16" s="110" t="s">
        <v>30</v>
      </c>
      <c r="DN16" s="104" t="s">
        <v>114</v>
      </c>
      <c r="DO16" s="123" t="s">
        <v>158</v>
      </c>
      <c r="DP16" s="123"/>
      <c r="DQ16" s="123"/>
      <c r="DR16" s="123"/>
      <c r="DS16" s="123"/>
      <c r="DT16" s="123"/>
      <c r="DU16" s="123"/>
      <c r="DV16" s="123"/>
      <c r="DW16" s="123"/>
      <c r="DX16" s="123"/>
      <c r="DY16" s="123"/>
      <c r="DZ16" s="123"/>
      <c r="EA16" s="123"/>
      <c r="EB16" s="123"/>
      <c r="EC16" s="123"/>
      <c r="ED16" s="123"/>
      <c r="EE16" s="123"/>
      <c r="EF16" s="123"/>
      <c r="EG16" s="119" t="s">
        <v>137</v>
      </c>
      <c r="EJ16" s="30" t="s">
        <v>187</v>
      </c>
      <c r="EZ16" s="30" t="s">
        <v>194</v>
      </c>
      <c r="FC16" s="104">
        <f>FC4*FC7*FC10*FC13</f>
        <v>0.95523912557071478</v>
      </c>
      <c r="FD16" s="104"/>
      <c r="FE16" s="104"/>
      <c r="FF16" s="104"/>
      <c r="FG16" s="104"/>
      <c r="FH16" s="104"/>
      <c r="FI16" s="3" t="s">
        <v>192</v>
      </c>
      <c r="FO16" s="65" t="s">
        <v>53</v>
      </c>
      <c r="FP16" s="12">
        <v>13.8</v>
      </c>
      <c r="FQ16" s="30" t="s">
        <v>43</v>
      </c>
      <c r="FX16" s="71"/>
      <c r="FY16" s="65"/>
      <c r="FZ16" s="71"/>
      <c r="GH16" s="71"/>
      <c r="GI16" s="71"/>
      <c r="GJ16" s="71"/>
      <c r="HI16" s="62" t="s">
        <v>328</v>
      </c>
      <c r="HR16" s="32"/>
      <c r="HS16" s="48" t="s">
        <v>277</v>
      </c>
      <c r="HT16" s="60" t="s">
        <v>325</v>
      </c>
      <c r="HU16" s="66"/>
      <c r="HV16" s="66"/>
      <c r="HW16" s="66"/>
      <c r="HX16" s="32"/>
      <c r="HY16" s="48"/>
      <c r="HZ16" s="48"/>
      <c r="IA16" s="66"/>
      <c r="IB16" s="66"/>
      <c r="IC16" s="66"/>
      <c r="ID16" s="66"/>
      <c r="IE16" s="66"/>
      <c r="IF16" s="66"/>
      <c r="IG16" s="32"/>
    </row>
    <row r="17" spans="1:244" ht="15" customHeight="1">
      <c r="CB17" s="2"/>
      <c r="CC17" s="2"/>
      <c r="CD17" s="2"/>
      <c r="CE17" s="2"/>
      <c r="CF17" s="2"/>
      <c r="CG17" s="2"/>
      <c r="CH17" s="2"/>
      <c r="CI17" s="2"/>
      <c r="CJ17" s="2"/>
      <c r="CS17" s="110"/>
      <c r="CT17" s="104"/>
      <c r="CU17" s="104"/>
      <c r="CV17" s="116" t="s">
        <v>155</v>
      </c>
      <c r="CW17" s="116"/>
      <c r="CX17" s="116"/>
      <c r="CY17" s="116"/>
      <c r="CZ17" s="116"/>
      <c r="DA17" s="116"/>
      <c r="DB17" s="116"/>
      <c r="DC17" s="116"/>
      <c r="DD17" s="116"/>
      <c r="DE17" s="116"/>
      <c r="DF17" s="116"/>
      <c r="DG17" s="116"/>
      <c r="DH17" s="116"/>
      <c r="DI17" s="116"/>
      <c r="DJ17" s="116"/>
      <c r="DK17" s="116"/>
      <c r="DL17" s="116"/>
      <c r="DM17" s="110"/>
      <c r="DN17" s="104"/>
      <c r="DO17" s="108" t="str">
        <f>CV17</f>
        <v>(Z8r-Z1r)^2+(Z8i-Z1i)^2</v>
      </c>
      <c r="DP17" s="108"/>
      <c r="DQ17" s="108"/>
      <c r="DR17" s="108"/>
      <c r="DS17" s="108"/>
      <c r="DT17" s="108"/>
      <c r="DU17" s="108"/>
      <c r="DV17" s="108"/>
      <c r="DW17" s="108"/>
      <c r="DX17" s="108"/>
      <c r="DY17" s="108"/>
      <c r="DZ17" s="108"/>
      <c r="EA17" s="108"/>
      <c r="EB17" s="108"/>
      <c r="EC17" s="108"/>
      <c r="ED17" s="108"/>
      <c r="EE17" s="108"/>
      <c r="EF17" s="108"/>
      <c r="EG17" s="119"/>
      <c r="FO17" s="65" t="s">
        <v>54</v>
      </c>
      <c r="FP17" s="12">
        <v>2.1</v>
      </c>
      <c r="FQ17" s="30" t="s">
        <v>43</v>
      </c>
      <c r="FY17" s="65"/>
      <c r="HH17" s="30" t="s">
        <v>317</v>
      </c>
      <c r="HI17" s="30" t="s">
        <v>329</v>
      </c>
      <c r="HR17" s="32"/>
      <c r="HS17" s="48"/>
      <c r="HT17" s="48"/>
      <c r="HU17" s="66"/>
      <c r="HV17" s="66"/>
      <c r="HW17" s="66"/>
      <c r="HX17" s="32"/>
      <c r="HY17" s="48"/>
      <c r="HZ17" s="48"/>
      <c r="IA17" s="66"/>
      <c r="IB17" s="66"/>
      <c r="IC17" s="66"/>
      <c r="ID17" s="66"/>
      <c r="IE17" s="66"/>
      <c r="IF17" s="66"/>
      <c r="IG17" s="32"/>
    </row>
    <row r="18" spans="1:244" ht="15" customHeight="1">
      <c r="E18" s="63"/>
      <c r="AH18" s="9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110" t="s">
        <v>33</v>
      </c>
      <c r="CT18" s="113" t="s">
        <v>157</v>
      </c>
      <c r="CU18" s="113"/>
      <c r="CV18" s="106">
        <f>(BP50-CX30-DN34)*(BP50-CX30)+(BV50-DC30-DS34)*(BV50-DC30)</f>
        <v>359369.11244610901</v>
      </c>
      <c r="CW18" s="106"/>
      <c r="CX18" s="106"/>
      <c r="CY18" s="106"/>
      <c r="CZ18" s="106"/>
      <c r="DA18" s="122" t="s">
        <v>30</v>
      </c>
      <c r="DB18" s="113" t="s">
        <v>114</v>
      </c>
      <c r="DC18" s="106">
        <f>((BV50-DC30-DS34)*(BP50-CX30)-(BV50-DC30)*(BP50-CX30-DN34))</f>
        <v>-845.26431014807622</v>
      </c>
      <c r="DD18" s="106"/>
      <c r="DE18" s="106"/>
      <c r="DF18" s="106"/>
      <c r="DG18" s="106"/>
      <c r="DH18" s="122" t="s">
        <v>137</v>
      </c>
      <c r="DI18" s="104" t="s">
        <v>33</v>
      </c>
      <c r="DJ18" s="124" t="s">
        <v>157</v>
      </c>
      <c r="DK18" s="124"/>
      <c r="DL18" s="114">
        <f>CV18/CV19</f>
        <v>0.99824753457252502</v>
      </c>
      <c r="DM18" s="114"/>
      <c r="DN18" s="114"/>
      <c r="DO18" s="114"/>
      <c r="DP18" s="126" t="s">
        <v>115</v>
      </c>
      <c r="DQ18" s="124"/>
      <c r="DR18" s="114">
        <f>DC18/DC19</f>
        <v>-2.3479564170779893E-3</v>
      </c>
      <c r="DS18" s="114"/>
      <c r="DT18" s="114"/>
      <c r="DU18" s="114"/>
      <c r="DV18" s="124" t="s">
        <v>137</v>
      </c>
      <c r="DW18" s="125" t="s">
        <v>33</v>
      </c>
      <c r="DX18" s="124" t="s">
        <v>157</v>
      </c>
      <c r="DY18" s="124"/>
      <c r="DZ18" s="125" t="s">
        <v>159</v>
      </c>
      <c r="EA18" s="125"/>
      <c r="EB18" s="125" t="s">
        <v>30</v>
      </c>
      <c r="EC18" s="124" t="s">
        <v>114</v>
      </c>
      <c r="ED18" s="124" t="s">
        <v>160</v>
      </c>
      <c r="EE18" s="124"/>
      <c r="EF18" s="124" t="s">
        <v>137</v>
      </c>
      <c r="EI18" s="30" t="s">
        <v>182</v>
      </c>
      <c r="EK18" s="105" t="s">
        <v>180</v>
      </c>
      <c r="EL18" s="105"/>
      <c r="EM18" s="105"/>
      <c r="EN18" s="105"/>
      <c r="EO18" s="104" t="s">
        <v>33</v>
      </c>
      <c r="EP18" s="106" t="s">
        <v>188</v>
      </c>
      <c r="EQ18" s="106"/>
      <c r="ER18" s="106"/>
      <c r="ES18" s="106"/>
      <c r="ET18" s="106"/>
      <c r="EU18" s="106"/>
      <c r="EV18" s="106"/>
      <c r="EW18" s="106"/>
      <c r="EX18" s="106"/>
      <c r="EY18" s="106"/>
      <c r="EZ18" s="106"/>
      <c r="FA18" s="106"/>
      <c r="FB18" s="106"/>
      <c r="FC18" s="106"/>
      <c r="FD18" s="106"/>
      <c r="FE18" s="106"/>
      <c r="FF18" s="106"/>
      <c r="FG18" s="106"/>
      <c r="FH18" s="106"/>
      <c r="FI18" s="106"/>
      <c r="FO18" s="65" t="s">
        <v>44</v>
      </c>
      <c r="FP18" s="75">
        <v>1.72</v>
      </c>
      <c r="FQ18" s="30" t="s">
        <v>46</v>
      </c>
      <c r="FY18" s="65" t="s">
        <v>44</v>
      </c>
      <c r="FZ18" s="30">
        <f>FP15^2*FP20/1000000</f>
        <v>1.7190000000000003</v>
      </c>
      <c r="GA18" s="30" t="s">
        <v>46</v>
      </c>
      <c r="HH18" s="30" t="s">
        <v>318</v>
      </c>
      <c r="HI18" s="30" t="s">
        <v>330</v>
      </c>
      <c r="HR18" s="32"/>
      <c r="HS18" s="48"/>
      <c r="HT18" s="48"/>
      <c r="HU18" s="66"/>
      <c r="HV18" s="38"/>
      <c r="HW18" s="38"/>
      <c r="HX18" s="32"/>
      <c r="HY18" s="32"/>
      <c r="HZ18" s="32"/>
      <c r="IA18" s="32"/>
      <c r="IB18" s="32"/>
      <c r="IC18" s="32"/>
      <c r="ID18" s="32"/>
      <c r="IE18" s="32"/>
      <c r="IF18" s="32"/>
      <c r="IG18" s="32"/>
    </row>
    <row r="19" spans="1:244" ht="15" customHeight="1"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110"/>
      <c r="CT19" s="113"/>
      <c r="CU19" s="113"/>
      <c r="CV19" s="116">
        <f>((BP50-CX30)^2+(BV50-DC30)^2)</f>
        <v>360000</v>
      </c>
      <c r="CW19" s="116"/>
      <c r="CX19" s="116"/>
      <c r="CY19" s="116"/>
      <c r="CZ19" s="116"/>
      <c r="DA19" s="122"/>
      <c r="DB19" s="113"/>
      <c r="DC19" s="116">
        <f>CV19</f>
        <v>360000</v>
      </c>
      <c r="DD19" s="116"/>
      <c r="DE19" s="116"/>
      <c r="DF19" s="116"/>
      <c r="DG19" s="116"/>
      <c r="DH19" s="122"/>
      <c r="DI19" s="104"/>
      <c r="DJ19" s="124"/>
      <c r="DK19" s="124"/>
      <c r="DL19" s="114"/>
      <c r="DM19" s="114"/>
      <c r="DN19" s="114"/>
      <c r="DO19" s="114"/>
      <c r="DP19" s="124"/>
      <c r="DQ19" s="124"/>
      <c r="DR19" s="114"/>
      <c r="DS19" s="114"/>
      <c r="DT19" s="114"/>
      <c r="DU19" s="114"/>
      <c r="DV19" s="124"/>
      <c r="DW19" s="125"/>
      <c r="DX19" s="124"/>
      <c r="DY19" s="124"/>
      <c r="DZ19" s="125"/>
      <c r="EA19" s="125"/>
      <c r="EB19" s="125"/>
      <c r="EC19" s="124"/>
      <c r="ED19" s="124"/>
      <c r="EE19" s="124"/>
      <c r="EF19" s="124"/>
      <c r="EI19" s="2"/>
      <c r="EJ19" s="2"/>
      <c r="EK19" s="2" t="s">
        <v>131</v>
      </c>
      <c r="EL19" s="2"/>
      <c r="EM19" s="2"/>
      <c r="EN19" s="2"/>
      <c r="EO19" s="104"/>
      <c r="EP19" s="112" t="s">
        <v>186</v>
      </c>
      <c r="EQ19" s="112"/>
      <c r="ER19" s="112"/>
      <c r="ES19" s="112"/>
      <c r="ET19" s="112"/>
      <c r="EU19" s="112"/>
      <c r="EV19" s="112"/>
      <c r="EW19" s="112"/>
      <c r="EX19" s="112"/>
      <c r="EY19" s="112"/>
      <c r="EZ19" s="112"/>
      <c r="FA19" s="112"/>
      <c r="FB19" s="112"/>
      <c r="FC19" s="112"/>
      <c r="FD19" s="112"/>
      <c r="FE19" s="112"/>
      <c r="FF19" s="112"/>
      <c r="FG19" s="112"/>
      <c r="FH19" s="112"/>
      <c r="FI19" s="112"/>
      <c r="FO19" s="65" t="s">
        <v>45</v>
      </c>
      <c r="FP19" s="12">
        <f>FP9*FP15*10^(-6)</f>
        <v>4.4999999999999998E-2</v>
      </c>
      <c r="FQ19" s="30" t="s">
        <v>46</v>
      </c>
      <c r="FU19" s="98"/>
      <c r="FV19" s="98"/>
      <c r="FW19" s="98"/>
      <c r="FX19" s="98"/>
      <c r="FY19" s="65"/>
      <c r="HH19" s="30" t="s">
        <v>315</v>
      </c>
      <c r="HI19" s="30" t="s">
        <v>319</v>
      </c>
      <c r="HR19" s="32"/>
      <c r="HS19" s="48"/>
      <c r="HT19" s="48"/>
      <c r="HU19" s="66"/>
      <c r="HV19" s="66"/>
      <c r="HW19" s="66"/>
      <c r="HX19" s="32"/>
      <c r="HY19" s="32"/>
      <c r="HZ19" s="32"/>
      <c r="IA19" s="32"/>
      <c r="IB19" s="32"/>
      <c r="IC19" s="32"/>
      <c r="ID19" s="32"/>
      <c r="IE19" s="32"/>
      <c r="IF19" s="32"/>
      <c r="IG19" s="32"/>
    </row>
    <row r="20" spans="1:244" ht="15" customHeight="1">
      <c r="I20" s="30" t="s">
        <v>7</v>
      </c>
      <c r="O20" s="30" t="s">
        <v>9</v>
      </c>
      <c r="V20" s="30" t="s">
        <v>6</v>
      </c>
      <c r="Z20" s="63"/>
      <c r="AF20" s="30" t="s">
        <v>5</v>
      </c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 t="s">
        <v>33</v>
      </c>
      <c r="CT20" s="2" t="s">
        <v>161</v>
      </c>
      <c r="CU20" s="2"/>
      <c r="CV20" s="2"/>
      <c r="CW20" s="2"/>
      <c r="CX20" s="2"/>
      <c r="CY20" s="2"/>
      <c r="CZ20" s="2"/>
      <c r="DA20" s="2"/>
      <c r="DB20" s="2"/>
      <c r="DC20" s="2"/>
      <c r="DD20" s="1" t="s">
        <v>162</v>
      </c>
      <c r="DE20" s="2"/>
      <c r="DF20" s="2"/>
      <c r="DG20" s="2"/>
      <c r="DH20" s="1"/>
      <c r="DI20" s="2"/>
      <c r="DJ20" s="2"/>
      <c r="DK20" s="2"/>
      <c r="DL20" s="2"/>
      <c r="DM20" s="2"/>
      <c r="EI20" s="104" t="s">
        <v>33</v>
      </c>
      <c r="EJ20" s="104" t="s">
        <v>79</v>
      </c>
      <c r="EK20" s="104"/>
      <c r="EL20" s="106" t="s">
        <v>309</v>
      </c>
      <c r="EM20" s="106"/>
      <c r="EN20" s="106"/>
      <c r="EO20" s="106"/>
      <c r="EP20" s="106"/>
      <c r="EQ20" s="106"/>
      <c r="ER20" s="106"/>
      <c r="ES20" s="106"/>
      <c r="ET20" s="106"/>
      <c r="EU20" s="106"/>
      <c r="EV20" s="106"/>
      <c r="EW20" s="106"/>
      <c r="EX20" s="106"/>
      <c r="EY20" s="106"/>
      <c r="EZ20" s="106"/>
      <c r="FA20" s="106"/>
      <c r="FB20" s="106"/>
      <c r="FC20" s="106"/>
      <c r="FD20" s="106"/>
      <c r="FE20" s="106"/>
      <c r="FF20" s="106"/>
      <c r="FG20" s="106"/>
      <c r="FH20" s="106"/>
      <c r="FI20" s="106"/>
      <c r="FJ20" s="106"/>
      <c r="FK20" s="106"/>
      <c r="FL20" s="106"/>
      <c r="FM20" s="106"/>
      <c r="FO20" s="65" t="s">
        <v>47</v>
      </c>
      <c r="FP20" s="75">
        <v>4.7750000000000004</v>
      </c>
      <c r="FQ20" s="64" t="s">
        <v>69</v>
      </c>
      <c r="FR20" s="30">
        <f>FP20/1000000</f>
        <v>4.775E-6</v>
      </c>
      <c r="FS20" s="30" t="s">
        <v>70</v>
      </c>
      <c r="FU20" s="98"/>
      <c r="FV20" s="98"/>
      <c r="FW20" s="98"/>
      <c r="FX20" s="98"/>
      <c r="FY20" s="65" t="s">
        <v>47</v>
      </c>
      <c r="FZ20" s="30">
        <f>FP7*(FP10-1)/(FP10*FP15)</f>
        <v>4.7744999999999997</v>
      </c>
      <c r="GA20" s="64" t="s">
        <v>69</v>
      </c>
      <c r="GB20" s="64"/>
      <c r="GC20" s="64"/>
      <c r="GD20" s="64"/>
      <c r="GE20" s="64"/>
      <c r="GF20" s="64"/>
      <c r="GG20" s="64"/>
      <c r="HH20" s="30" t="s">
        <v>313</v>
      </c>
      <c r="HI20" s="30" t="s">
        <v>332</v>
      </c>
      <c r="HR20" s="32"/>
      <c r="HS20" s="48"/>
      <c r="HT20" s="48"/>
      <c r="HU20" s="66"/>
      <c r="HV20" s="66"/>
      <c r="HW20" s="66"/>
      <c r="HX20" s="32"/>
      <c r="HY20" s="32"/>
      <c r="HZ20" s="32"/>
      <c r="IA20" s="32"/>
      <c r="IB20" s="32"/>
      <c r="IC20" s="32"/>
      <c r="ID20" s="32"/>
      <c r="IE20" s="32"/>
      <c r="IF20" s="32"/>
      <c r="IG20" s="32"/>
    </row>
    <row r="21" spans="1:244" ht="15" customHeight="1">
      <c r="AF21" s="7"/>
      <c r="AP21" s="7"/>
      <c r="AV21" s="30" t="s">
        <v>7</v>
      </c>
      <c r="BB21" s="30" t="s">
        <v>9</v>
      </c>
      <c r="BM21" s="30" t="s">
        <v>6</v>
      </c>
      <c r="BU21" s="30" t="s">
        <v>10</v>
      </c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 t="s">
        <v>33</v>
      </c>
      <c r="CT21" s="127" t="s">
        <v>136</v>
      </c>
      <c r="CU21" s="127"/>
      <c r="CV21" s="117">
        <f>CP13*DL18-CW13*DR18</f>
        <v>0.94196317931199147</v>
      </c>
      <c r="CW21" s="117"/>
      <c r="CX21" s="117"/>
      <c r="CY21" s="117"/>
      <c r="CZ21" s="117"/>
      <c r="DA21" s="128" t="s">
        <v>115</v>
      </c>
      <c r="DB21" s="128"/>
      <c r="DC21" s="117">
        <f>(CW13*DL18+CP13*DR18)</f>
        <v>-0.16850274237091112</v>
      </c>
      <c r="DD21" s="117"/>
      <c r="DE21" s="117"/>
      <c r="DF21" s="117"/>
      <c r="DG21" s="117"/>
      <c r="DH21" s="16" t="s">
        <v>137</v>
      </c>
      <c r="DI21" s="16" t="s">
        <v>33</v>
      </c>
      <c r="DJ21" s="127" t="s">
        <v>136</v>
      </c>
      <c r="DK21" s="127"/>
      <c r="DL21" s="16" t="s">
        <v>163</v>
      </c>
      <c r="DM21" s="16"/>
      <c r="DN21" s="17" t="s">
        <v>30</v>
      </c>
      <c r="DO21" s="17" t="s">
        <v>114</v>
      </c>
      <c r="DP21" s="17" t="s">
        <v>164</v>
      </c>
      <c r="DQ21" s="17"/>
      <c r="DR21" s="17" t="s">
        <v>137</v>
      </c>
      <c r="EI21" s="104"/>
      <c r="EJ21" s="104"/>
      <c r="EK21" s="104"/>
      <c r="EL21" s="112" t="s">
        <v>181</v>
      </c>
      <c r="EM21" s="112"/>
      <c r="EN21" s="112"/>
      <c r="EO21" s="112"/>
      <c r="EP21" s="112"/>
      <c r="EQ21" s="112"/>
      <c r="ER21" s="112"/>
      <c r="ES21" s="112"/>
      <c r="ET21" s="112"/>
      <c r="EU21" s="112"/>
      <c r="EV21" s="112"/>
      <c r="EW21" s="112"/>
      <c r="EX21" s="112"/>
      <c r="EY21" s="112"/>
      <c r="EZ21" s="112"/>
      <c r="FA21" s="112"/>
      <c r="FB21" s="112"/>
      <c r="FC21" s="112"/>
      <c r="FD21" s="112"/>
      <c r="FE21" s="112"/>
      <c r="FF21" s="112"/>
      <c r="FG21" s="112"/>
      <c r="FH21" s="112"/>
      <c r="FI21" s="112"/>
      <c r="FJ21" s="112"/>
      <c r="FK21" s="112"/>
      <c r="FL21" s="112"/>
      <c r="FM21" s="112"/>
      <c r="FO21" s="65" t="s">
        <v>291</v>
      </c>
      <c r="FP21" s="30">
        <f>FP9/FP15</f>
        <v>0.125</v>
      </c>
      <c r="FQ21" s="64" t="s">
        <v>69</v>
      </c>
      <c r="FU21" s="98"/>
      <c r="FV21" s="98"/>
      <c r="FW21" s="98"/>
      <c r="FX21" s="98"/>
      <c r="HH21" s="30" t="s">
        <v>314</v>
      </c>
      <c r="HI21" s="30" t="s">
        <v>331</v>
      </c>
      <c r="HR21" s="32"/>
      <c r="HS21" s="32"/>
      <c r="HT21" s="32"/>
      <c r="HU21" s="32"/>
      <c r="HV21" s="32"/>
      <c r="HW21" s="32"/>
      <c r="HX21" s="32"/>
      <c r="HY21" s="32"/>
      <c r="HZ21" s="32"/>
      <c r="IA21" s="32"/>
      <c r="IB21" s="32"/>
      <c r="IC21" s="32"/>
      <c r="ID21" s="32"/>
      <c r="IE21" s="32"/>
      <c r="IF21" s="37"/>
      <c r="IG21" s="32"/>
    </row>
    <row r="22" spans="1:244" ht="15" customHeight="1">
      <c r="CB22" s="2"/>
      <c r="CC22" s="2"/>
      <c r="CD22" s="2"/>
      <c r="CE22" s="2"/>
      <c r="CF22" s="2"/>
      <c r="CG22" s="2"/>
      <c r="CH22" s="2"/>
      <c r="CI22" s="2"/>
      <c r="CJ22" s="2"/>
      <c r="CK22" s="104" t="s">
        <v>84</v>
      </c>
      <c r="CL22" s="104"/>
      <c r="CM22" s="104" t="s">
        <v>85</v>
      </c>
      <c r="CN22" s="104"/>
      <c r="CO22" s="105" t="s">
        <v>10</v>
      </c>
      <c r="CP22" s="105"/>
      <c r="CQ22" s="105"/>
      <c r="CR22" s="104" t="s">
        <v>33</v>
      </c>
      <c r="CS22" s="110" t="s">
        <v>165</v>
      </c>
      <c r="CT22" s="110"/>
      <c r="CU22" s="105" t="s">
        <v>10</v>
      </c>
      <c r="CV22" s="105"/>
      <c r="CW22" s="105"/>
      <c r="CX22" s="105"/>
      <c r="CY22" s="105"/>
      <c r="CZ22" s="104" t="s">
        <v>33</v>
      </c>
      <c r="DA22" s="110" t="s">
        <v>165</v>
      </c>
      <c r="DB22" s="110"/>
      <c r="DC22" s="105" t="s">
        <v>171</v>
      </c>
      <c r="DD22" s="105"/>
      <c r="DE22" s="105"/>
      <c r="DF22" s="105"/>
      <c r="DG22" s="105"/>
      <c r="DH22" s="105"/>
      <c r="DI22" s="105"/>
      <c r="DJ22" s="105"/>
      <c r="DK22" s="105"/>
      <c r="DL22" s="105"/>
      <c r="DM22" s="104" t="s">
        <v>33</v>
      </c>
      <c r="DN22" s="110" t="s">
        <v>166</v>
      </c>
      <c r="DO22" s="110"/>
      <c r="DP22" s="105" t="s">
        <v>168</v>
      </c>
      <c r="DQ22" s="105"/>
      <c r="DR22" s="105"/>
      <c r="DS22" s="105"/>
      <c r="DT22" s="105"/>
      <c r="DU22" s="105"/>
      <c r="DV22" s="105"/>
      <c r="DW22" s="107" t="s">
        <v>115</v>
      </c>
      <c r="DX22" s="104"/>
      <c r="DY22" s="105" t="s">
        <v>172</v>
      </c>
      <c r="DZ22" s="105"/>
      <c r="EA22" s="105"/>
      <c r="EB22" s="105"/>
      <c r="EC22" s="105"/>
      <c r="ED22" s="105"/>
      <c r="EE22" s="105"/>
      <c r="EF22" s="104" t="s">
        <v>137</v>
      </c>
      <c r="EJ22" s="104" t="s">
        <v>33</v>
      </c>
      <c r="EK22" s="104" t="s">
        <v>144</v>
      </c>
      <c r="EL22" s="104"/>
      <c r="EM22" s="106">
        <f>BH48*(CX30+DN34+BH48)-BM48*(DC30+DS34+BM48)</f>
        <v>369438.40929433756</v>
      </c>
      <c r="EN22" s="106"/>
      <c r="EO22" s="106"/>
      <c r="EP22" s="106"/>
      <c r="EQ22" s="106"/>
      <c r="ER22" s="3" t="s">
        <v>115</v>
      </c>
      <c r="ET22" s="106">
        <f>BM48*(CX30+DN34+BH48)-BH48*(DC30+DS34+BM48)</f>
        <v>-32082.106495527416</v>
      </c>
      <c r="EU22" s="106"/>
      <c r="EV22" s="106"/>
      <c r="EW22" s="106"/>
      <c r="EX22" s="110" t="s">
        <v>137</v>
      </c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65"/>
      <c r="FU22" s="98"/>
      <c r="FV22" s="98"/>
      <c r="FW22" s="98"/>
      <c r="FX22" s="98"/>
      <c r="HS22" s="63" t="s">
        <v>235</v>
      </c>
      <c r="HT22" s="63"/>
      <c r="HU22" s="63"/>
      <c r="HY22" s="63" t="s">
        <v>339</v>
      </c>
    </row>
    <row r="23" spans="1:244" ht="15" customHeight="1">
      <c r="CB23" s="2"/>
      <c r="CC23" s="2"/>
      <c r="CD23" s="2"/>
      <c r="CE23" s="2"/>
      <c r="CF23" s="2"/>
      <c r="CG23" s="2"/>
      <c r="CH23" s="2"/>
      <c r="CI23" s="2"/>
      <c r="CJ23" s="2"/>
      <c r="CK23" s="104"/>
      <c r="CL23" s="104"/>
      <c r="CM23" s="104"/>
      <c r="CN23" s="104"/>
      <c r="CO23" s="111" t="s">
        <v>86</v>
      </c>
      <c r="CP23" s="111"/>
      <c r="CQ23" s="111"/>
      <c r="CR23" s="104"/>
      <c r="CS23" s="110"/>
      <c r="CT23" s="110"/>
      <c r="CU23" s="110" t="s">
        <v>169</v>
      </c>
      <c r="CV23" s="110"/>
      <c r="CW23" s="110"/>
      <c r="CX23" s="110"/>
      <c r="CY23" s="110"/>
      <c r="CZ23" s="104"/>
      <c r="DA23" s="110"/>
      <c r="DB23" s="110"/>
      <c r="DC23" s="110" t="s">
        <v>170</v>
      </c>
      <c r="DD23" s="110"/>
      <c r="DE23" s="110"/>
      <c r="DF23" s="110"/>
      <c r="DG23" s="110"/>
      <c r="DH23" s="110"/>
      <c r="DI23" s="110"/>
      <c r="DJ23" s="110"/>
      <c r="DK23" s="110"/>
      <c r="DL23" s="110"/>
      <c r="DM23" s="104"/>
      <c r="DN23" s="110"/>
      <c r="DO23" s="110"/>
      <c r="DP23" s="104" t="s">
        <v>167</v>
      </c>
      <c r="DQ23" s="104"/>
      <c r="DR23" s="104"/>
      <c r="DS23" s="104"/>
      <c r="DT23" s="104"/>
      <c r="DU23" s="104"/>
      <c r="DV23" s="104"/>
      <c r="DW23" s="104"/>
      <c r="DX23" s="104"/>
      <c r="DY23" s="104" t="s">
        <v>167</v>
      </c>
      <c r="DZ23" s="104"/>
      <c r="EA23" s="104"/>
      <c r="EB23" s="104"/>
      <c r="EC23" s="104"/>
      <c r="ED23" s="104"/>
      <c r="EE23" s="104"/>
      <c r="EF23" s="104"/>
      <c r="EJ23" s="104"/>
      <c r="EK23" s="104"/>
      <c r="EL23" s="104"/>
      <c r="EM23" s="112">
        <f>(CX30+DN34+BH48)^2+(DC30+DS34+BM48)^2</f>
        <v>380351.12388666987</v>
      </c>
      <c r="EN23" s="112"/>
      <c r="EO23" s="112"/>
      <c r="EP23" s="112"/>
      <c r="EQ23" s="112"/>
      <c r="ER23" s="112"/>
      <c r="ES23" s="112"/>
      <c r="ET23" s="112"/>
      <c r="EU23" s="112"/>
      <c r="EV23" s="112"/>
      <c r="EW23" s="112"/>
      <c r="EX23" s="110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65" t="s">
        <v>49</v>
      </c>
      <c r="FP23" s="12">
        <v>10</v>
      </c>
      <c r="FQ23" s="30" t="s">
        <v>50</v>
      </c>
      <c r="FU23" s="98"/>
      <c r="FV23" s="98"/>
      <c r="FW23" s="98"/>
      <c r="FX23" s="98"/>
      <c r="GK23" s="63"/>
      <c r="GL23" s="63"/>
      <c r="GM23" s="63"/>
      <c r="GN23" s="63"/>
      <c r="GO23" s="63"/>
      <c r="GP23" s="63"/>
      <c r="GQ23" s="63"/>
      <c r="GR23" s="63"/>
      <c r="GS23" s="63"/>
      <c r="GX23" s="63"/>
      <c r="GY23" s="63"/>
      <c r="GZ23" s="63"/>
      <c r="HA23" s="63"/>
      <c r="HB23" s="63"/>
      <c r="HC23" s="63"/>
      <c r="HD23" s="63"/>
      <c r="HE23" s="63"/>
      <c r="HF23" s="63"/>
      <c r="HG23" s="63"/>
      <c r="HH23" s="63"/>
      <c r="HI23" s="63"/>
      <c r="HJ23" s="63"/>
      <c r="HK23" s="63"/>
      <c r="HL23" s="63"/>
      <c r="HM23" s="63"/>
      <c r="HN23" s="63"/>
      <c r="HQ23" s="63" t="s">
        <v>233</v>
      </c>
      <c r="HR23" s="63" t="s">
        <v>51</v>
      </c>
      <c r="HS23" s="63" t="s">
        <v>234</v>
      </c>
      <c r="HT23" s="63"/>
      <c r="HU23" s="63"/>
      <c r="HV23" s="63">
        <f>HT56</f>
        <v>-19.929986111876218</v>
      </c>
      <c r="HW23" s="63">
        <f>HS56</f>
        <v>-19.912637365844414</v>
      </c>
      <c r="HX23" s="63"/>
      <c r="HY23" s="30">
        <f>HV23</f>
        <v>-19.929986111876218</v>
      </c>
      <c r="HZ23" s="63"/>
      <c r="IA23" s="63"/>
      <c r="IB23" s="63"/>
      <c r="IC23" s="63"/>
      <c r="ID23" s="63"/>
      <c r="IE23" s="63"/>
      <c r="IF23" s="63"/>
      <c r="IG23" s="63"/>
      <c r="IH23" s="63"/>
      <c r="II23" s="63"/>
      <c r="IJ23" s="63"/>
    </row>
    <row r="24" spans="1:244" ht="15" customHeight="1">
      <c r="A24" s="63"/>
      <c r="B24" s="63"/>
      <c r="C24" s="63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Q24" s="63"/>
      <c r="R24" s="63"/>
      <c r="S24" s="63"/>
      <c r="T24" s="63"/>
      <c r="U24" s="63"/>
      <c r="V24" s="63"/>
      <c r="W24" s="63"/>
      <c r="X24" s="63"/>
      <c r="CB24" s="2"/>
      <c r="CC24" s="2"/>
      <c r="CD24" s="2"/>
      <c r="CE24" s="2"/>
      <c r="CF24" s="2"/>
      <c r="CG24" s="2"/>
      <c r="CH24" s="2"/>
      <c r="CI24" s="2"/>
      <c r="CJ24" s="2"/>
      <c r="CR24" s="104" t="s">
        <v>33</v>
      </c>
      <c r="CS24" s="110" t="s">
        <v>166</v>
      </c>
      <c r="CT24" s="110"/>
      <c r="CU24" s="105">
        <f>(AJ34*(DN34+AJ34))</f>
        <v>360630.88755389099</v>
      </c>
      <c r="CV24" s="105"/>
      <c r="CW24" s="105"/>
      <c r="CX24" s="105"/>
      <c r="CY24" s="107" t="s">
        <v>115</v>
      </c>
      <c r="CZ24" s="104"/>
      <c r="DA24" s="105">
        <f>(-AJ34*DS34)</f>
        <v>-845.26431014807622</v>
      </c>
      <c r="DB24" s="105"/>
      <c r="DC24" s="105"/>
      <c r="DD24" s="105"/>
      <c r="DE24" s="104" t="s">
        <v>137</v>
      </c>
      <c r="DF24" s="104" t="s">
        <v>33</v>
      </c>
      <c r="DG24" s="130" t="s">
        <v>166</v>
      </c>
      <c r="DH24" s="130"/>
      <c r="DI24" s="129">
        <f>CU24/CU25</f>
        <v>0.99824511634795465</v>
      </c>
      <c r="DJ24" s="129"/>
      <c r="DK24" s="129"/>
      <c r="DL24" s="129"/>
      <c r="DM24" s="131" t="s">
        <v>115</v>
      </c>
      <c r="DN24" s="129"/>
      <c r="DO24" s="129">
        <f>DA24/DA25</f>
        <v>-2.3397357207858389E-3</v>
      </c>
      <c r="DP24" s="129"/>
      <c r="DQ24" s="129"/>
      <c r="DR24" s="129"/>
      <c r="DS24" s="129" t="s">
        <v>137</v>
      </c>
      <c r="DT24" s="129" t="s">
        <v>33</v>
      </c>
      <c r="DU24" s="130" t="s">
        <v>166</v>
      </c>
      <c r="DV24" s="130"/>
      <c r="DW24" s="129" t="s">
        <v>173</v>
      </c>
      <c r="DX24" s="129"/>
      <c r="DY24" s="131" t="s">
        <v>115</v>
      </c>
      <c r="DZ24" s="129"/>
      <c r="EA24" s="129" t="s">
        <v>174</v>
      </c>
      <c r="EB24" s="129"/>
      <c r="EC24" s="129" t="s">
        <v>137</v>
      </c>
      <c r="EK24" s="104" t="s">
        <v>33</v>
      </c>
      <c r="EL24" s="104" t="s">
        <v>144</v>
      </c>
      <c r="EM24" s="104"/>
      <c r="EN24" s="135">
        <f>EM22/EM23</f>
        <v>0.97130884094460079</v>
      </c>
      <c r="EO24" s="135"/>
      <c r="EP24" s="135"/>
      <c r="EQ24" s="135"/>
      <c r="ER24" s="104" t="s">
        <v>30</v>
      </c>
      <c r="ES24" s="104" t="s">
        <v>114</v>
      </c>
      <c r="ET24" s="108">
        <f>ET22/EM23</f>
        <v>-8.4348657019051324E-2</v>
      </c>
      <c r="EU24" s="108"/>
      <c r="EV24" s="108"/>
      <c r="EW24" s="108"/>
      <c r="EX24" s="104" t="s">
        <v>137</v>
      </c>
      <c r="EY24" s="104" t="s">
        <v>33</v>
      </c>
      <c r="EZ24" s="104" t="s">
        <v>183</v>
      </c>
      <c r="FA24" s="104"/>
      <c r="FB24" s="104"/>
      <c r="FC24" s="104"/>
      <c r="FD24" s="104"/>
      <c r="FE24" s="104"/>
      <c r="FF24" s="104"/>
      <c r="FO24" s="65" t="s">
        <v>51</v>
      </c>
      <c r="FP24" s="27">
        <f>2*PI()*FP23</f>
        <v>62.831853071795862</v>
      </c>
      <c r="FV24" s="102" t="s">
        <v>272</v>
      </c>
      <c r="FW24" s="102"/>
      <c r="FX24" s="102"/>
      <c r="FY24" s="102" t="s">
        <v>273</v>
      </c>
      <c r="FZ24" s="102"/>
      <c r="GA24" s="102"/>
      <c r="GB24" s="102" t="s">
        <v>299</v>
      </c>
      <c r="GC24" s="102"/>
      <c r="GD24" s="102"/>
      <c r="GE24" s="102" t="s">
        <v>300</v>
      </c>
      <c r="GF24" s="102"/>
      <c r="GG24" s="102"/>
      <c r="GH24" s="102" t="s">
        <v>274</v>
      </c>
      <c r="GI24" s="102"/>
      <c r="GJ24" s="102"/>
      <c r="GK24" s="99" t="s">
        <v>24</v>
      </c>
      <c r="GL24" s="100"/>
      <c r="GM24" s="101"/>
      <c r="GN24" s="99" t="s">
        <v>295</v>
      </c>
      <c r="GO24" s="100"/>
      <c r="GP24" s="101"/>
      <c r="GQ24" s="99" t="s">
        <v>303</v>
      </c>
      <c r="GR24" s="100"/>
      <c r="GS24" s="101"/>
      <c r="GT24" s="134" t="s">
        <v>275</v>
      </c>
      <c r="GU24" s="134"/>
      <c r="GV24" s="134"/>
      <c r="GW24" s="102" t="s">
        <v>77</v>
      </c>
      <c r="GX24" s="102"/>
      <c r="GY24" s="102"/>
      <c r="GZ24" s="102" t="s">
        <v>279</v>
      </c>
      <c r="HA24" s="102"/>
      <c r="HB24" s="102"/>
      <c r="HC24" s="103" t="s">
        <v>218</v>
      </c>
      <c r="HD24" s="103"/>
      <c r="HE24" s="103"/>
      <c r="HF24" s="103" t="s">
        <v>307</v>
      </c>
      <c r="HG24" s="103"/>
      <c r="HH24" s="103"/>
      <c r="HI24" s="103" t="s">
        <v>220</v>
      </c>
      <c r="HJ24" s="103"/>
      <c r="HK24" s="103"/>
      <c r="HL24" s="103" t="s">
        <v>221</v>
      </c>
      <c r="HM24" s="103"/>
      <c r="HN24" s="103"/>
      <c r="HO24" s="71" t="s">
        <v>73</v>
      </c>
      <c r="HP24" s="71"/>
      <c r="HQ24" s="30">
        <f>FP23</f>
        <v>10</v>
      </c>
      <c r="HR24" s="27">
        <f>FP24</f>
        <v>62.831853071795862</v>
      </c>
      <c r="HS24" s="30">
        <f>20*LOG(SQRT(((1+($FP$8*10^(-6)*HR24)^2)/((1+($FP$7*10^(-6)*HR24)^2)))))+19.912637</f>
        <v>19.744050705335432</v>
      </c>
      <c r="HT24" s="63" t="s">
        <v>326</v>
      </c>
      <c r="HV24" s="30" t="s">
        <v>335</v>
      </c>
      <c r="HW24" s="30" t="s">
        <v>335</v>
      </c>
    </row>
    <row r="25" spans="1:244" ht="15" customHeight="1">
      <c r="A25" s="63"/>
      <c r="B25" s="63"/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8"/>
      <c r="Q25" s="63"/>
      <c r="R25" s="63"/>
      <c r="S25" s="63"/>
      <c r="T25" s="63"/>
      <c r="U25" s="63"/>
      <c r="V25" s="63"/>
      <c r="W25" s="63"/>
      <c r="X25" s="63"/>
      <c r="CB25" s="2"/>
      <c r="CC25" s="2"/>
      <c r="CD25" s="2"/>
      <c r="CE25" s="2"/>
      <c r="CF25" s="2"/>
      <c r="CG25" s="2"/>
      <c r="CH25" s="2"/>
      <c r="CI25" s="2"/>
      <c r="CJ25" s="2"/>
      <c r="CR25" s="104"/>
      <c r="CS25" s="110"/>
      <c r="CT25" s="110"/>
      <c r="CU25" s="111">
        <f>((DN34+AJ34)^2+DS34^2)</f>
        <v>361264.8653601699</v>
      </c>
      <c r="CV25" s="111"/>
      <c r="CW25" s="111"/>
      <c r="CX25" s="111"/>
      <c r="CY25" s="104"/>
      <c r="CZ25" s="104"/>
      <c r="DA25" s="104">
        <f>CU25</f>
        <v>361264.8653601699</v>
      </c>
      <c r="DB25" s="104"/>
      <c r="DC25" s="104"/>
      <c r="DD25" s="104"/>
      <c r="DE25" s="104"/>
      <c r="DF25" s="104"/>
      <c r="DG25" s="130"/>
      <c r="DH25" s="130"/>
      <c r="DI25" s="129"/>
      <c r="DJ25" s="129"/>
      <c r="DK25" s="129"/>
      <c r="DL25" s="129"/>
      <c r="DM25" s="129"/>
      <c r="DN25" s="129"/>
      <c r="DO25" s="129"/>
      <c r="DP25" s="129"/>
      <c r="DQ25" s="129"/>
      <c r="DR25" s="129"/>
      <c r="DS25" s="129"/>
      <c r="DT25" s="129"/>
      <c r="DU25" s="130"/>
      <c r="DV25" s="130"/>
      <c r="DW25" s="129"/>
      <c r="DX25" s="129"/>
      <c r="DY25" s="129"/>
      <c r="DZ25" s="129"/>
      <c r="EA25" s="129"/>
      <c r="EB25" s="129"/>
      <c r="EC25" s="129"/>
      <c r="EK25" s="104"/>
      <c r="EL25" s="104"/>
      <c r="EM25" s="104"/>
      <c r="EN25" s="135"/>
      <c r="EO25" s="135"/>
      <c r="EP25" s="135"/>
      <c r="EQ25" s="135"/>
      <c r="ER25" s="104"/>
      <c r="ES25" s="104"/>
      <c r="ET25" s="108"/>
      <c r="EU25" s="108"/>
      <c r="EV25" s="108"/>
      <c r="EW25" s="108"/>
      <c r="EX25" s="104"/>
      <c r="EY25" s="104"/>
      <c r="EZ25" s="104"/>
      <c r="FA25" s="104"/>
      <c r="FB25" s="104"/>
      <c r="FC25" s="104"/>
      <c r="FD25" s="104"/>
      <c r="FE25" s="104"/>
      <c r="FF25" s="104"/>
      <c r="FO25" s="65"/>
      <c r="FT25" s="65" t="s">
        <v>49</v>
      </c>
      <c r="FU25" s="65" t="s">
        <v>51</v>
      </c>
      <c r="FV25" s="69" t="s">
        <v>276</v>
      </c>
      <c r="FW25" s="69" t="s">
        <v>277</v>
      </c>
      <c r="FX25" s="69" t="s">
        <v>278</v>
      </c>
      <c r="FY25" s="69" t="s">
        <v>276</v>
      </c>
      <c r="FZ25" s="69" t="s">
        <v>277</v>
      </c>
      <c r="GA25" s="69" t="s">
        <v>278</v>
      </c>
      <c r="GB25" s="69" t="s">
        <v>276</v>
      </c>
      <c r="GC25" s="69" t="s">
        <v>277</v>
      </c>
      <c r="GD25" s="69" t="s">
        <v>278</v>
      </c>
      <c r="GE25" s="69" t="s">
        <v>276</v>
      </c>
      <c r="GF25" s="69" t="s">
        <v>277</v>
      </c>
      <c r="GG25" s="69" t="s">
        <v>278</v>
      </c>
      <c r="GH25" s="69" t="s">
        <v>276</v>
      </c>
      <c r="GI25" s="69" t="s">
        <v>277</v>
      </c>
      <c r="GJ25" s="69" t="s">
        <v>278</v>
      </c>
      <c r="GK25" s="54" t="s">
        <v>276</v>
      </c>
      <c r="GL25" s="54" t="s">
        <v>277</v>
      </c>
      <c r="GM25" s="54" t="s">
        <v>278</v>
      </c>
      <c r="GN25" s="54" t="s">
        <v>276</v>
      </c>
      <c r="GO25" s="54" t="s">
        <v>277</v>
      </c>
      <c r="GP25" s="54" t="s">
        <v>278</v>
      </c>
      <c r="GQ25" s="54" t="s">
        <v>276</v>
      </c>
      <c r="GR25" s="54" t="s">
        <v>277</v>
      </c>
      <c r="GS25" s="54" t="s">
        <v>278</v>
      </c>
      <c r="GT25" s="69" t="s">
        <v>276</v>
      </c>
      <c r="GU25" s="69" t="s">
        <v>277</v>
      </c>
      <c r="GV25" s="69" t="s">
        <v>278</v>
      </c>
      <c r="GW25" s="69" t="s">
        <v>276</v>
      </c>
      <c r="GX25" s="69" t="s">
        <v>277</v>
      </c>
      <c r="GY25" s="69" t="s">
        <v>278</v>
      </c>
      <c r="GZ25" s="69" t="s">
        <v>276</v>
      </c>
      <c r="HA25" s="69" t="s">
        <v>277</v>
      </c>
      <c r="HB25" s="69" t="s">
        <v>278</v>
      </c>
      <c r="HC25" s="68" t="s">
        <v>276</v>
      </c>
      <c r="HD25" s="68" t="s">
        <v>277</v>
      </c>
      <c r="HE25" s="68" t="s">
        <v>278</v>
      </c>
      <c r="HF25" s="68" t="s">
        <v>276</v>
      </c>
      <c r="HG25" s="68" t="s">
        <v>277</v>
      </c>
      <c r="HH25" s="68" t="s">
        <v>278</v>
      </c>
      <c r="HI25" s="68" t="s">
        <v>276</v>
      </c>
      <c r="HJ25" s="68" t="s">
        <v>277</v>
      </c>
      <c r="HK25" s="68" t="s">
        <v>278</v>
      </c>
      <c r="HL25" s="68" t="s">
        <v>276</v>
      </c>
      <c r="HM25" s="68" t="s">
        <v>277</v>
      </c>
      <c r="HN25" s="68" t="s">
        <v>278</v>
      </c>
      <c r="HO25" s="71" t="s">
        <v>288</v>
      </c>
      <c r="HP25" s="71" t="s">
        <v>287</v>
      </c>
      <c r="HT25" s="71" t="s">
        <v>336</v>
      </c>
      <c r="HU25" s="71" t="s">
        <v>287</v>
      </c>
      <c r="HV25" s="30" t="s">
        <v>333</v>
      </c>
      <c r="HW25" s="30" t="s">
        <v>334</v>
      </c>
      <c r="HX25" s="30" t="s">
        <v>337</v>
      </c>
      <c r="HY25" s="30" t="s">
        <v>338</v>
      </c>
      <c r="HZ25" s="30" t="s">
        <v>340</v>
      </c>
      <c r="IF25" s="35"/>
    </row>
    <row r="26" spans="1:244" ht="15" customHeight="1" thickBot="1"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1" t="s">
        <v>175</v>
      </c>
      <c r="CS26" s="2"/>
      <c r="CT26" s="2"/>
      <c r="CU26" s="2"/>
      <c r="CV26" s="2"/>
      <c r="CW26" s="2"/>
      <c r="CX26" s="2"/>
      <c r="CY26" s="2"/>
      <c r="CZ26" s="2"/>
      <c r="DA26" s="2"/>
      <c r="DB26" s="2" t="s">
        <v>33</v>
      </c>
      <c r="DC26" s="110" t="s">
        <v>136</v>
      </c>
      <c r="DD26" s="110"/>
      <c r="DE26" s="110" t="s">
        <v>176</v>
      </c>
      <c r="DF26" s="110"/>
      <c r="DG26" s="110"/>
      <c r="DH26" s="110"/>
      <c r="DI26" s="110"/>
      <c r="DJ26" s="110"/>
      <c r="DK26" s="110"/>
      <c r="DL26" s="110"/>
      <c r="DM26" s="110"/>
      <c r="DN26" s="110"/>
      <c r="DO26" s="110"/>
      <c r="DP26" s="110"/>
      <c r="DQ26" s="110"/>
      <c r="DR26" s="110"/>
      <c r="DS26" s="30" t="s">
        <v>137</v>
      </c>
      <c r="FG26" s="34">
        <f>SQRT(FE26^2+FF26^2)</f>
        <v>0</v>
      </c>
      <c r="FO26" s="65" t="s">
        <v>222</v>
      </c>
      <c r="FP26" s="30">
        <f>SQRT(FP48^2+FR48^2)</f>
        <v>586.76828519892854</v>
      </c>
      <c r="FT26" s="29">
        <v>10</v>
      </c>
      <c r="FU26" s="27">
        <f>2*PI()*FT26</f>
        <v>62.831853071795862</v>
      </c>
      <c r="FV26" s="30">
        <f>$AJ$30*(2*$AJ$30*$AJ$35+$AJ$35^2+($FU26*$AJ$37)^2)/((2*$AJ$30+$AJ$35)^2+($FU26*$AJ$37)^2)</f>
        <v>12.440858812812751</v>
      </c>
      <c r="FW26" s="30">
        <f>2*$AJ$30^2*$FU26*$AJ$37/((2*$AJ$30+$AJ$35)^2+($FU26*$AJ$37)^2)</f>
        <v>51.93639601306451</v>
      </c>
      <c r="FX26" s="34">
        <f>SQRT(FV26^2+FW26^2)</f>
        <v>53.405656992740049</v>
      </c>
      <c r="FY26" s="30">
        <f>$AJ$30^2*(2*$AJ$30+$AJ$35)/((2*$AJ$30+$AJ$35)^2+($FU26*$AJ$37)^2)</f>
        <v>239.27957059359363</v>
      </c>
      <c r="FZ26" s="30">
        <f>-($AJ$30^2*$FU26*$AJ$37)/((2*$AJ$30+$AJ$35)^2+($FU26*$AJ$37)^2)</f>
        <v>-25.968198006532255</v>
      </c>
      <c r="GA26" s="34">
        <f>SQRT(FY26^2+FZ26^2)</f>
        <v>240.68456579340733</v>
      </c>
      <c r="GB26" s="34">
        <f>FP$12*(2*FP$12*FP$17+FP$17^2+(FU26*FP$19)^2)/((2*FP$12+FP$17)^2+(FU26*FP$19)^2)</f>
        <v>1.0514792564850299</v>
      </c>
      <c r="GC26" s="34">
        <f>2*FP$12^2*FU26*FP$19/((2*FP$12+FP$17)^2+(FU26*FP$19)^2)</f>
        <v>1.4087738502467937</v>
      </c>
      <c r="GD26" s="34">
        <f>SQRT(GB26^2+GC26^2)</f>
        <v>1.7579113709051111</v>
      </c>
      <c r="GE26" s="55">
        <f>FP$12^2*(2*FP$12+FP$17)/((2*FP$12+FP$17)^2+(FU26*FP$19)^2)</f>
        <v>299.47426037175751</v>
      </c>
      <c r="GF26" s="55">
        <f>-(FP$12^2*FU26*FP$19)/((2*FP$12+FP$17)^2+(FU26*FP$19)^2)</f>
        <v>-0.70438692512339685</v>
      </c>
      <c r="GG26" s="34">
        <f>SQRT(GE26^2+GF26^2)</f>
        <v>299.47508875723116</v>
      </c>
      <c r="GH26" s="30">
        <f>$FY26+$AJ$32+$AJ$33/(1+($AJ$33*$FU26*$AP$39)^2)</f>
        <v>1219.7608692383333</v>
      </c>
      <c r="GI26" s="30">
        <f t="shared" ref="GI26:GI86" si="0">FZ26-($AJ$33^2*$FU26*$AP$39)/(1+($AJ$33*$FU26*$AP$39)^2)</f>
        <v>-3120.3287912497999</v>
      </c>
      <c r="GJ26" s="34">
        <f>SQRT(GH26^2+GI26^2)</f>
        <v>3350.2639214884985</v>
      </c>
      <c r="GK26" s="34">
        <f>GE26</f>
        <v>299.47426037175751</v>
      </c>
      <c r="GL26" s="34">
        <f>GF26-1/(FU26*FP$21*10^(-6))</f>
        <v>-127324.65886044141</v>
      </c>
      <c r="GM26" s="34">
        <f>SQRT(GK26^2+GL26^2)</f>
        <v>127325.01104952006</v>
      </c>
      <c r="GN26" s="55">
        <f t="shared" ref="GN26:GN86" si="1">$FP$15+FP$12*(2*FP$12*FP$17+FP$17^2+(FU26*FP$19)^2)/((2*FP$12+FP$17)^2+(FU26*FP$19)^2)</f>
        <v>601.05147925648498</v>
      </c>
      <c r="GO26" s="55">
        <f t="shared" ref="GO26:GO86" si="2">2*FP$12^2*FU26*FP$19/((2*FP$12+FP$17)^2+(FU26*FP$19)^2)</f>
        <v>1.4087738502467937</v>
      </c>
      <c r="GP26" s="34">
        <f>SQRT(GN26^2+GO26^2)</f>
        <v>601.05313023073916</v>
      </c>
      <c r="GQ26" s="55">
        <f>((GK26*GN26-GL26*GO26)*(GK26+GN26)+(GL26+GO26)*(GL26*GN26+GK26*GO26))/((GK26+GN26)^2+(GL26+GO26)^2)</f>
        <v>601.04471243014996</v>
      </c>
      <c r="GR26" s="55">
        <f>((GL26*GN26+GK26*GO26)*(GK26+GN26)-(GL26+GO26)*(GK26*GN26-GL26*GO26))/((GK26+GN26)^2+(GL26+GO26)^2)</f>
        <v>-1.4285304294167549</v>
      </c>
      <c r="GS26" s="34">
        <f>SQRT(GQ26^2+GR26^2)</f>
        <v>601.04641005452265</v>
      </c>
      <c r="GT26" s="56">
        <f>FV26+GB26+GQ26</f>
        <v>614.53705049944779</v>
      </c>
      <c r="GU26" s="56">
        <f>FW26+GC26+GR26</f>
        <v>51.916639433894552</v>
      </c>
      <c r="GV26" s="34">
        <f>SQRT(GT26^2+GU26^2)</f>
        <v>616.72613361740218</v>
      </c>
      <c r="GW26" s="30">
        <f>(($GH26*$GT26-$GI26*$GU26)*($GH26+$GT26)+($GI26+$GU26)*($GI26*$GT26+$GH26*$GU26))/(($GH26+$GT26)^2+($GI26+$GU26)^2)</f>
        <v>576.03914240127722</v>
      </c>
      <c r="GX26" s="30">
        <f t="shared" ref="GX26:GX86" si="3">(($GI26*$GT26+$GH26*$GU26)*($GH26+$GT26)-($GI26+$GU26)*($GH26*$GT26-$GI26*$GU26))/(($GH26+$GT26)^2+($GI26+$GU26)^2)</f>
        <v>-47.269454607484008</v>
      </c>
      <c r="GY26" s="34">
        <f>SQRT(GW26^2+GX26^2)</f>
        <v>577.97534109794674</v>
      </c>
      <c r="GZ26" s="34">
        <f t="shared" ref="GZ26:HA57" si="4">FV26+GW26</f>
        <v>588.48000121408995</v>
      </c>
      <c r="HA26" s="34">
        <f t="shared" si="4"/>
        <v>4.6669414055805021</v>
      </c>
      <c r="HB26" s="34">
        <f>SQRT(GZ26^2+HA26^2)</f>
        <v>588.49850651553777</v>
      </c>
      <c r="HC26" s="33">
        <f t="shared" ref="HC26:HC86" si="5">($GW26*($FV26+$GW26)+$GX26*($FW26+$GX26))/(($FV26+$GW26)^2+($FW26+$GX26)^2)</f>
        <v>0.97816080045720188</v>
      </c>
      <c r="HD26" s="33">
        <f t="shared" ref="HD26:HD86" si="6">($GX26*($FV26+$GW26)-$GW26*($FW26+$GX26))/(($FV26+$GW26)^2+($FW26+$GX26)^2)</f>
        <v>-8.8081963093926824E-2</v>
      </c>
      <c r="HE26" s="33">
        <f>SQRT(HC26^2+HD26^2)</f>
        <v>0.98211862001163275</v>
      </c>
      <c r="HF26" s="33">
        <f>$HC26*(($GT26*($GT26-$FV26)+$GU26*($GU26-$FW26))/($GT26^2+$GU26^2))-($HD26)*(($GT26*($GU26-$FW26)-$GU26*($GT26-$FV26))/($GT26^2+$GU26^2))</f>
        <v>0.94432289985453033</v>
      </c>
      <c r="HG26" s="33">
        <f t="shared" ref="HG26:HG86" si="7">$HD26*($GT26*($GT26-$FV26)+$GU26*($GU26-$FW26))/($GT26^2+$GU26^2)+$HC26*(($GT26*($GU26-$FW26)-$GU26*($GT26-$FV26))/($GT26^2+$GU26^2))</f>
        <v>-0.1661074967967946</v>
      </c>
      <c r="HH26" s="33">
        <f>SQRT(HF26^2+HG26^2)</f>
        <v>0.95882085901474134</v>
      </c>
      <c r="HI26" s="30">
        <f>(HF26*(GQ26*(GB26+GQ26)+GR26*(GC26+GR26))-HG26*(GR26*(GB26+GQ26)-GQ26*(GC26+GR26)))/((GB26+GQ26)^2+(GC26+GR26)^2)</f>
        <v>0.94228517576197779</v>
      </c>
      <c r="HJ26" s="30">
        <f>(HG26*(GQ26*(GB26+GQ26)+GR26*(GC26+GR26))+HF26*(GR26*(GB26+GQ26)-GQ26*(GC26+GR26)))/((GB26+GQ26)^2+(GC26+GR26)^2)</f>
        <v>-0.16802698922124543</v>
      </c>
      <c r="HK26" s="33">
        <f>SQRT(HI26^2+HJ26^2)</f>
        <v>0.95714911145940995</v>
      </c>
      <c r="HL26" s="61">
        <f>$FP$15*(HI26*($FP$15+GB26)+GC26*HJ26)/(($FP$15+GB26)^2+GC26^2)</f>
        <v>0.94023843616273128</v>
      </c>
      <c r="HM26" s="61">
        <f>$FP$15*(HJ26*($FP$15+GB26)-GC26*HI26)/(($FP$15+GB26)^2+GC26^2)</f>
        <v>-0.16993681968965593</v>
      </c>
      <c r="HN26" s="33">
        <f>SQRT(HL26^2+HM26^2)</f>
        <v>0.95547205062417873</v>
      </c>
      <c r="HO26" s="30">
        <f>20*LOG(HH26)</f>
        <v>-0.36525053038842575</v>
      </c>
      <c r="HP26" s="30">
        <f>HO26-HS26</f>
        <v>-0.1965677947132442</v>
      </c>
      <c r="HQ26" s="29">
        <v>10</v>
      </c>
      <c r="HR26" s="30">
        <v>62.831853071795862</v>
      </c>
      <c r="HS26" s="30">
        <f>20*LOG(SQRT(((1+($FP$8*10^(-6)*HR26)^2)/((1+($FP$7*10^(-6)*HR26)^2)*(1+($FP$9*10^(-6)*HR26)^2)))))</f>
        <v>-0.16868273567518155</v>
      </c>
      <c r="HT26" s="30">
        <f>20*LOG(HN26)</f>
        <v>-0.39564024726515801</v>
      </c>
      <c r="HU26" s="30">
        <f>HT26-HS26</f>
        <v>-0.22695751158997646</v>
      </c>
      <c r="HV26" s="30">
        <f t="shared" ref="HV26:HV86" si="8">HT26-HV$23</f>
        <v>19.534345864611058</v>
      </c>
      <c r="HW26" s="30">
        <f t="shared" ref="HW26:HW86" si="9">HS26-HW$23</f>
        <v>19.743954630169235</v>
      </c>
      <c r="HX26" s="73">
        <f>HB26-FP$15</f>
        <v>-11.50149348446223</v>
      </c>
      <c r="HY26" s="30">
        <f>HO26-HY$23</f>
        <v>19.564735581487792</v>
      </c>
      <c r="HZ26" s="74">
        <f>HV26-HW26</f>
        <v>-0.2096087655581762</v>
      </c>
    </row>
    <row r="27" spans="1:244" ht="15" customHeight="1" thickBot="1"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18" t="s">
        <v>33</v>
      </c>
      <c r="CT27" s="132" t="s">
        <v>136</v>
      </c>
      <c r="CU27" s="132"/>
      <c r="CV27" s="133">
        <f>CV21*DI24-DC21*DO24</f>
        <v>0.93991589164241263</v>
      </c>
      <c r="CW27" s="133"/>
      <c r="CX27" s="133"/>
      <c r="CY27" s="133"/>
      <c r="CZ27" s="133"/>
      <c r="DA27" s="19" t="s">
        <v>30</v>
      </c>
      <c r="DB27" s="19" t="s">
        <v>114</v>
      </c>
      <c r="DC27" s="133">
        <f>CV21*DO24+DC21*DI24</f>
        <v>-0.17041098456130085</v>
      </c>
      <c r="DD27" s="133"/>
      <c r="DE27" s="133"/>
      <c r="DF27" s="133"/>
      <c r="DG27" s="133"/>
      <c r="DH27" s="20" t="s">
        <v>137</v>
      </c>
      <c r="DI27" s="2"/>
      <c r="DJ27" s="2"/>
      <c r="DK27" s="2"/>
      <c r="DL27" s="2"/>
      <c r="DM27" s="2"/>
      <c r="EK27" s="30" t="s">
        <v>33</v>
      </c>
      <c r="EL27" s="30" t="s">
        <v>184</v>
      </c>
      <c r="FO27" s="65" t="s">
        <v>223</v>
      </c>
      <c r="FP27" s="30">
        <f t="shared" ref="FP27:FP36" si="10">SQRT(FP49^2+FR49^2)</f>
        <v>53.405656992740049</v>
      </c>
      <c r="FT27" s="29">
        <v>11</v>
      </c>
      <c r="FU27" s="27">
        <f t="shared" ref="FU27:FU86" si="11">2*PI()*FT27</f>
        <v>69.115038378975441</v>
      </c>
      <c r="FV27" s="30">
        <f t="shared" ref="FV27:FV86" si="12">$AJ$30*(2*$AJ$30*$AJ$35+$AJ$35^2+($FU27*$AJ$37)^2)/((2*$AJ$30+$AJ$35)^2+($FU27*$AJ$37)^2)</f>
        <v>13.60788789480444</v>
      </c>
      <c r="FW27" s="30">
        <f t="shared" ref="FW27:FW86" si="13">2*$AJ$30^2*$FU27*$AJ$37/((2*$AJ$30+$AJ$35)^2+($FU27*$AJ$37)^2)</f>
        <v>56.990716547448962</v>
      </c>
      <c r="FX27" s="34">
        <f t="shared" ref="FX27:FX86" si="14">SQRT(FV27^2+FW27^2)</f>
        <v>58.59280148234285</v>
      </c>
      <c r="FY27" s="30">
        <f t="shared" ref="FY27:FY86" si="15">$AJ$30^2*(2*$AJ$30+$AJ$35)/((2*$AJ$30+$AJ$35)^2+($FU27*$AJ$37)^2)</f>
        <v>238.69605605259778</v>
      </c>
      <c r="FZ27" s="30">
        <f t="shared" ref="FZ27:FZ86" si="16">-($AJ$30^2*$FU27*$AJ$37)/((2*$AJ$30+$AJ$35)^2+($FU27*$AJ$37)^2)</f>
        <v>-28.495358273724481</v>
      </c>
      <c r="GA27" s="34">
        <f t="shared" ref="GA27:GA86" si="17">SQRT(FY27^2+FZ27^2)</f>
        <v>240.39091625561232</v>
      </c>
      <c r="GB27" s="34">
        <f t="shared" ref="GB27:GB86" si="18">FP$12*(2*FP$12*FP$17+FP$17^2+(FU27*FP$19)^2)/((2*FP$12+FP$17)^2+(FU27*FP$19)^2)</f>
        <v>1.0521750965873256</v>
      </c>
      <c r="GC27" s="34">
        <f t="shared" ref="GC27:GC86" si="19">2*FP$12^2*FU27*FP$19/((2*FP$12+FP$17)^2+(FU27*FP$19)^2)</f>
        <v>1.5496494349339869</v>
      </c>
      <c r="GD27" s="34">
        <f t="shared" ref="GD27:GD86" si="20">SQRT(GB27^2+GC27^2)</f>
        <v>1.873095247196408</v>
      </c>
      <c r="GE27" s="55">
        <f t="shared" ref="GE27:GE86" si="21">FP$12^2*(2*FP$12+FP$17)/((2*FP$12+FP$17)^2+(FU27*FP$19)^2)</f>
        <v>299.47391245170638</v>
      </c>
      <c r="GF27" s="55">
        <f t="shared" ref="GF27:GF85" si="22">-(FP$12^2*FU27*FP$19)/((2*FP$12+FP$17)^2+(FU27*FP$19)^2)</f>
        <v>-0.77482471746699344</v>
      </c>
      <c r="GG27" s="34">
        <f t="shared" ref="GG27:GG86" si="23">SQRT(GE27^2+GF27^2)</f>
        <v>299.47491479667394</v>
      </c>
      <c r="GH27" s="30">
        <f t="shared" ref="GH27:GH86" si="24">$FY27+$AJ$32+$AJ$33/(1+($AJ$33*$FU27*$AP$39)^2)</f>
        <v>1078.9518991946361</v>
      </c>
      <c r="GI27" s="30">
        <f t="shared" si="0"/>
        <v>-2876.9583034093102</v>
      </c>
      <c r="GJ27" s="34">
        <f t="shared" ref="GJ27:GJ86" si="25">SQRT(GH27^2+GI27^2)</f>
        <v>3072.6253075068375</v>
      </c>
      <c r="GK27" s="34">
        <f t="shared" ref="GK27:GK86" si="26">GE27</f>
        <v>299.47391245170638</v>
      </c>
      <c r="GL27" s="34">
        <f t="shared" ref="GL27:GL86" si="27">GF27-1/(FU27*FP$21*10^(-6))</f>
        <v>-115749.82434609589</v>
      </c>
      <c r="GM27" s="34">
        <f t="shared" ref="GM27:GM86" si="28">SQRT(GK27^2+GL27^2)</f>
        <v>115750.21175261967</v>
      </c>
      <c r="GN27" s="55">
        <f t="shared" si="1"/>
        <v>601.05217509658735</v>
      </c>
      <c r="GO27" s="55">
        <f t="shared" si="2"/>
        <v>1.5496494349339869</v>
      </c>
      <c r="GP27" s="34">
        <f t="shared" ref="GP27:GP86" si="29">SQRT(GN27^2+GO27^2)</f>
        <v>601.05417276790445</v>
      </c>
      <c r="GQ27" s="55">
        <f t="shared" ref="GQ27:GQ86" si="30">((GK27*GN27-GL27*GO27)*(GK27+GN27)+(GL27+GO27)*(GL27*GN27+GK27*GO27))/((GK27+GN27)^2+(GL27+GO27)^2)</f>
        <v>601.04398724735597</v>
      </c>
      <c r="GR27" s="55">
        <f t="shared" ref="GR27:GR86" si="31">((GL27*GN27+GK27*GO27)*(GK27+GN27)-(GL27+GO27)*(GK27*GN27-GL27*GO27))/((GK27+GN27)^2+(GL27+GO27)^2)</f>
        <v>-1.5713814689811199</v>
      </c>
      <c r="GS27" s="34">
        <f t="shared" ref="GS27:GS86" si="32">SQRT(GQ27^2+GR27^2)</f>
        <v>601.04604136947853</v>
      </c>
      <c r="GT27" s="56">
        <f t="shared" ref="GT27:GU86" si="33">FV27+GB27+GQ27</f>
        <v>615.70405023874775</v>
      </c>
      <c r="GU27" s="56">
        <f t="shared" si="33"/>
        <v>56.968984513401828</v>
      </c>
      <c r="GV27" s="34">
        <f t="shared" ref="GV27:GV86" si="34">SQRT(GT27^2+GU27^2)</f>
        <v>618.33400575812311</v>
      </c>
      <c r="GW27" s="30">
        <f t="shared" ref="GW27:GW86" si="35">(($GH27*$GT27-$GI27*$GU27)*($GH27+$GT27)+($GI27+$GU27)*($GI27*$GT27+$GH27*$GU27))/(($GH27+$GT27)^2+($GI27+$GU27)^2)</f>
        <v>575.13738900820454</v>
      </c>
      <c r="GX27" s="30">
        <f t="shared" si="3"/>
        <v>-51.931952246584963</v>
      </c>
      <c r="GY27" s="34">
        <f t="shared" ref="GY27:GY86" si="36">SQRT(GW27^2+GX27^2)</f>
        <v>577.47722370610984</v>
      </c>
      <c r="GZ27" s="34">
        <f t="shared" si="4"/>
        <v>588.74527690300897</v>
      </c>
      <c r="HA27" s="34">
        <f t="shared" si="4"/>
        <v>5.0587643008639986</v>
      </c>
      <c r="HB27" s="34">
        <f t="shared" ref="HB27:HB86" si="37">SQRT(GZ27^2+HA27^2)</f>
        <v>588.76701009130284</v>
      </c>
      <c r="HC27" s="33">
        <f t="shared" si="5"/>
        <v>0.9760566452505961</v>
      </c>
      <c r="HD27" s="33">
        <f t="shared" si="6"/>
        <v>-9.6594563031320205E-2</v>
      </c>
      <c r="HE27" s="33">
        <f t="shared" ref="HE27:HE68" si="38">SQRT(HC27^2+HD27^2)</f>
        <v>0.98082469603138545</v>
      </c>
      <c r="HF27" s="33">
        <f t="shared" ref="HF27:HF86" si="39">$HC27*(($GT27*($GT27-$FV27)+$GU27*($GU27-$FW27))/($GT27^2+$GU27^2))-($HD27)*(($GT27*($GU27-$FW27)-$GU27*($GT27-$FV27))/($GT27^2+$GU27^2))</f>
        <v>0.93770996064735157</v>
      </c>
      <c r="HG27" s="33">
        <f t="shared" si="7"/>
        <v>-0.18125723159300544</v>
      </c>
      <c r="HH27" s="33">
        <f t="shared" ref="HH27:HH86" si="40">SQRT(HF27^2+HG27^2)</f>
        <v>0.95506761765961778</v>
      </c>
      <c r="HI27" s="30">
        <f>(HF27*(GQ27*(GB27+GQ27)+GR27*(GC27+GR27))-HG27*(GR27*(GB27+GQ27)-GQ27*(GC27+GR27)))/((GB27+GQ27)^2+(GC27+GR27)^2)</f>
        <v>0.9356048572647524</v>
      </c>
      <c r="HJ27" s="30">
        <f t="shared" ref="HJ27:HJ86" si="41">(HG27*(GQ27*(GB27+GQ27)+GR27*(GC27+GR27))+HF27*(GR27*(GB27+GQ27)-GQ27*(GC27+GR27)))/((GB27+GQ27)^2+(GC27+GR27)^2)</f>
        <v>-0.18335399485546222</v>
      </c>
      <c r="HK27" s="33">
        <f t="shared" ref="HK27:HK86" si="42">SQRT(HI27^2+HJ27^2)</f>
        <v>0.95340187558387701</v>
      </c>
      <c r="HL27" s="61">
        <f t="shared" ref="HL27:HL86" si="43">$FP$15*(HI27*($FP$15+GB27)+GC27*HJ27)/(($FP$15+GB27)^2+GC27^2)</f>
        <v>0.93348892320852805</v>
      </c>
      <c r="HM27" s="61">
        <f t="shared" ref="HM27:HM86" si="44">$FP$15*(HJ27*($FP$15+GB27)-GC27*HI27)/(($FP$15+GB27)^2+GC27^2)</f>
        <v>-0.18543977064509154</v>
      </c>
      <c r="HN27" s="33">
        <f t="shared" ref="HN27:HN86" si="45">SQRT(HL27^2+HM27^2)</f>
        <v>0.95172972964488267</v>
      </c>
      <c r="HO27" s="30">
        <f t="shared" ref="HO27:HO86" si="46">20*LOG(HH27)</f>
        <v>-0.39931759582479137</v>
      </c>
      <c r="HP27" s="30">
        <f t="shared" ref="HP27:HP86" si="47">HO27-HS27</f>
        <v>-0.19604457989297824</v>
      </c>
      <c r="HQ27" s="29">
        <v>11</v>
      </c>
      <c r="HR27" s="30">
        <v>69.115038378975441</v>
      </c>
      <c r="HS27" s="30">
        <f t="shared" ref="HS27:HS86" si="48">20*LOG(SQRT(((1+($FP$8*10^(-6)*HR27)^2)/((1+($FP$7*10^(-6)*HR27)^2)*(1+($FP$9*10^(-6)*HR27)^2)))))</f>
        <v>-0.20327301593181313</v>
      </c>
      <c r="HT27" s="30">
        <f t="shared" ref="HT27:HT86" si="49">20*LOG(HN27)</f>
        <v>-0.42972728416990846</v>
      </c>
      <c r="HU27" s="30">
        <f t="shared" ref="HU27:HU86" si="50">HT27-HS27</f>
        <v>-0.22645426823809534</v>
      </c>
      <c r="HV27" s="30">
        <f t="shared" si="8"/>
        <v>19.500258827706311</v>
      </c>
      <c r="HW27" s="30">
        <f t="shared" si="9"/>
        <v>19.709364349912601</v>
      </c>
      <c r="HX27" s="73">
        <f t="shared" ref="HX26:HX86" si="51">HB27-FP$15</f>
        <v>-11.232989908697164</v>
      </c>
      <c r="HY27" s="30">
        <f t="shared" ref="HY27:HY86" si="52">HO27-HY$23</f>
        <v>19.530668516051428</v>
      </c>
      <c r="HZ27" s="74">
        <f t="shared" ref="HZ27:HZ86" si="53">HV27-HW27</f>
        <v>-0.20910552220628986</v>
      </c>
    </row>
    <row r="28" spans="1:244" ht="15" customHeight="1">
      <c r="EL28" s="30" t="s">
        <v>185</v>
      </c>
      <c r="FO28" s="65" t="s">
        <v>224</v>
      </c>
      <c r="FP28" s="30">
        <f t="shared" si="10"/>
        <v>240.68456579340733</v>
      </c>
      <c r="FT28" s="29">
        <v>12</v>
      </c>
      <c r="FU28" s="27">
        <f t="shared" si="11"/>
        <v>75.398223686155035</v>
      </c>
      <c r="FV28" s="30">
        <f t="shared" si="12"/>
        <v>14.879549150988653</v>
      </c>
      <c r="FW28" s="30">
        <f t="shared" si="13"/>
        <v>62.00607989357983</v>
      </c>
      <c r="FX28" s="34">
        <f t="shared" si="14"/>
        <v>63.766409078022356</v>
      </c>
      <c r="FY28" s="30">
        <f t="shared" si="15"/>
        <v>238.06022542450569</v>
      </c>
      <c r="FZ28" s="30">
        <f>-($AJ$30^2*$FU28*$AJ$37)/((2*$AJ$30+$AJ$35)^2+($FU28*$AJ$37)^2)</f>
        <v>-31.003039946789915</v>
      </c>
      <c r="GA28" s="34">
        <f t="shared" si="17"/>
        <v>240.07053008461642</v>
      </c>
      <c r="GB28" s="34">
        <f t="shared" si="18"/>
        <v>1.0529372053204396</v>
      </c>
      <c r="GC28" s="34">
        <f t="shared" si="19"/>
        <v>1.6905245052442779</v>
      </c>
      <c r="GD28" s="34">
        <f t="shared" si="20"/>
        <v>1.9916199088127804</v>
      </c>
      <c r="GE28" s="55">
        <f t="shared" si="21"/>
        <v>299.47353139733985</v>
      </c>
      <c r="GF28" s="55">
        <f t="shared" si="22"/>
        <v>-0.84526225262213894</v>
      </c>
      <c r="GG28" s="34">
        <f t="shared" si="23"/>
        <v>299.47472426879233</v>
      </c>
      <c r="GH28" s="30">
        <f t="shared" si="24"/>
        <v>969.27679159969182</v>
      </c>
      <c r="GI28" s="30">
        <f t="shared" si="0"/>
        <v>-2667.3327872408568</v>
      </c>
      <c r="GJ28" s="34">
        <f t="shared" si="25"/>
        <v>2837.9854997205093</v>
      </c>
      <c r="GK28" s="34">
        <f t="shared" si="26"/>
        <v>299.47353139733985</v>
      </c>
      <c r="GL28" s="34">
        <f t="shared" si="27"/>
        <v>-106104.14065684951</v>
      </c>
      <c r="GM28" s="34">
        <f t="shared" si="28"/>
        <v>106104.5632804005</v>
      </c>
      <c r="GN28" s="55">
        <f t="shared" si="1"/>
        <v>601.0529372053204</v>
      </c>
      <c r="GO28" s="55">
        <f t="shared" si="2"/>
        <v>1.6905245052442779</v>
      </c>
      <c r="GP28" s="34">
        <f t="shared" si="29"/>
        <v>601.05531458946905</v>
      </c>
      <c r="GQ28" s="55">
        <f t="shared" si="30"/>
        <v>601.04319300191378</v>
      </c>
      <c r="GR28" s="55">
        <f t="shared" si="31"/>
        <v>-1.7142319361607683</v>
      </c>
      <c r="GS28" s="34">
        <f t="shared" si="32"/>
        <v>601.04563757261121</v>
      </c>
      <c r="GT28" s="56">
        <f t="shared" si="33"/>
        <v>616.97567935822292</v>
      </c>
      <c r="GU28" s="56">
        <f t="shared" si="33"/>
        <v>61.982372462663335</v>
      </c>
      <c r="GV28" s="34">
        <f t="shared" si="34"/>
        <v>620.08128774834108</v>
      </c>
      <c r="GW28" s="30">
        <f t="shared" si="35"/>
        <v>574.14899086527828</v>
      </c>
      <c r="GX28" s="30">
        <f t="shared" si="3"/>
        <v>-56.574898078182102</v>
      </c>
      <c r="GY28" s="34">
        <f t="shared" si="36"/>
        <v>576.92961685475473</v>
      </c>
      <c r="GZ28" s="34">
        <f t="shared" si="4"/>
        <v>589.0285400162669</v>
      </c>
      <c r="HA28" s="34">
        <f t="shared" si="4"/>
        <v>5.4311818153977285</v>
      </c>
      <c r="HB28" s="34">
        <f t="shared" si="37"/>
        <v>589.05357879364999</v>
      </c>
      <c r="HC28" s="33">
        <f t="shared" si="5"/>
        <v>0.97377042661076174</v>
      </c>
      <c r="HD28" s="33">
        <f t="shared" si="6"/>
        <v>-0.10502652776358527</v>
      </c>
      <c r="HE28" s="33">
        <f t="shared" si="38"/>
        <v>0.97941789613820107</v>
      </c>
      <c r="HF28" s="33">
        <f t="shared" si="39"/>
        <v>0.93058961198361667</v>
      </c>
      <c r="HG28" s="33">
        <f t="shared" si="7"/>
        <v>-0.19601956368252552</v>
      </c>
      <c r="HH28" s="33">
        <f t="shared" si="40"/>
        <v>0.95101035497943243</v>
      </c>
      <c r="HI28" s="30">
        <f t="shared" ref="HI28:HI86" si="54">(HF28*(GQ28*(GB28+GQ28)+GR28*(GC28+GR28))-HG28*(GR28*(GB28+GQ28)-GQ28*(GC28+GR28)))/((GB28+GQ28)^2+(GC28+GR28)^2)</f>
        <v>0.9284119290250501</v>
      </c>
      <c r="HJ28" s="30">
        <f t="shared" si="41"/>
        <v>-0.19828969931453813</v>
      </c>
      <c r="HK28" s="33">
        <f t="shared" si="42"/>
        <v>0.94935110196926864</v>
      </c>
      <c r="HL28" s="61">
        <f t="shared" si="43"/>
        <v>0.92622145674024714</v>
      </c>
      <c r="HM28" s="61">
        <f t="shared" si="44"/>
        <v>-0.2005474263533111</v>
      </c>
      <c r="HN28" s="33">
        <f t="shared" si="45"/>
        <v>0.94768426025916574</v>
      </c>
      <c r="HO28" s="30">
        <f t="shared" si="46"/>
        <v>-0.43629508531177452</v>
      </c>
      <c r="HP28" s="30">
        <f t="shared" si="47"/>
        <v>-0.19545714250962531</v>
      </c>
      <c r="HQ28" s="29">
        <v>12</v>
      </c>
      <c r="HR28" s="30">
        <v>75.398223686155035</v>
      </c>
      <c r="HS28" s="30">
        <f t="shared" si="48"/>
        <v>-0.24083794280214921</v>
      </c>
      <c r="HT28" s="30">
        <f t="shared" si="49"/>
        <v>-0.46672664706600203</v>
      </c>
      <c r="HU28" s="30">
        <f t="shared" si="50"/>
        <v>-0.22588870426385282</v>
      </c>
      <c r="HV28" s="30">
        <f t="shared" si="8"/>
        <v>19.463259464810218</v>
      </c>
      <c r="HW28" s="30">
        <f t="shared" si="9"/>
        <v>19.671799423042266</v>
      </c>
      <c r="HX28" s="73">
        <f t="shared" si="51"/>
        <v>-10.94642120635001</v>
      </c>
      <c r="HY28" s="30">
        <f t="shared" si="52"/>
        <v>19.493691026564445</v>
      </c>
      <c r="HZ28" s="74">
        <f t="shared" si="53"/>
        <v>-0.20853995823204841</v>
      </c>
    </row>
    <row r="29" spans="1:244" ht="15" customHeight="1" thickBot="1">
      <c r="EL29" s="30" t="s">
        <v>136</v>
      </c>
      <c r="EN29" s="108">
        <f>DH6*EN24-DN6*ET24</f>
        <v>0.94249204067019055</v>
      </c>
      <c r="EO29" s="108"/>
      <c r="EP29" s="108"/>
      <c r="EQ29" s="108"/>
      <c r="ER29" s="3" t="s">
        <v>115</v>
      </c>
      <c r="ES29" s="108">
        <f>DN6*EN24+DH6*ET24</f>
        <v>-0.16827729033590116</v>
      </c>
      <c r="ET29" s="108"/>
      <c r="EU29" s="108"/>
      <c r="EV29" s="108"/>
      <c r="EW29" s="108"/>
      <c r="EX29" s="30" t="s">
        <v>137</v>
      </c>
      <c r="FO29" s="65" t="s">
        <v>225</v>
      </c>
      <c r="FP29" s="30">
        <f>SQRT(FP51^2+FR51^2)</f>
        <v>1.7579113709051111</v>
      </c>
      <c r="FT29" s="29">
        <v>13</v>
      </c>
      <c r="FU29" s="27">
        <f t="shared" si="11"/>
        <v>81.681408993334628</v>
      </c>
      <c r="FV29" s="30">
        <f t="shared" si="12"/>
        <v>16.254127727496904</v>
      </c>
      <c r="FW29" s="30">
        <f t="shared" si="13"/>
        <v>66.979321378689406</v>
      </c>
      <c r="FX29" s="34">
        <f t="shared" si="14"/>
        <v>68.923335384552772</v>
      </c>
      <c r="FY29" s="30">
        <f t="shared" si="15"/>
        <v>237.37293613625155</v>
      </c>
      <c r="FZ29" s="30">
        <f t="shared" si="16"/>
        <v>-33.489660689344703</v>
      </c>
      <c r="GA29" s="34">
        <f t="shared" si="17"/>
        <v>239.72373304083266</v>
      </c>
      <c r="GB29" s="34">
        <f t="shared" si="18"/>
        <v>1.0537655821784393</v>
      </c>
      <c r="GC29" s="34">
        <f t="shared" si="19"/>
        <v>1.8313990144185088</v>
      </c>
      <c r="GD29" s="34">
        <f t="shared" si="20"/>
        <v>2.1129231534054784</v>
      </c>
      <c r="GE29" s="55">
        <f t="shared" si="21"/>
        <v>299.47311720891082</v>
      </c>
      <c r="GF29" s="55">
        <f t="shared" si="22"/>
        <v>-0.91569950720925442</v>
      </c>
      <c r="GG29" s="34">
        <f t="shared" si="23"/>
        <v>299.47451717368131</v>
      </c>
      <c r="GH29" s="30">
        <f t="shared" si="24"/>
        <v>882.261676797159</v>
      </c>
      <c r="GI29" s="30">
        <f t="shared" si="0"/>
        <v>-2485.4695699340391</v>
      </c>
      <c r="GJ29" s="34">
        <f t="shared" si="25"/>
        <v>2637.4124913280125</v>
      </c>
      <c r="GK29" s="34">
        <f t="shared" si="26"/>
        <v>299.47311720891082</v>
      </c>
      <c r="GL29" s="34">
        <f t="shared" si="27"/>
        <v>-97942.419140673577</v>
      </c>
      <c r="GM29" s="34">
        <f t="shared" si="28"/>
        <v>97942.87698079586</v>
      </c>
      <c r="GN29" s="55">
        <f t="shared" si="1"/>
        <v>601.05376558217847</v>
      </c>
      <c r="GO29" s="55">
        <f t="shared" si="2"/>
        <v>1.8313990144185088</v>
      </c>
      <c r="GP29" s="34">
        <f t="shared" si="29"/>
        <v>601.05655569410965</v>
      </c>
      <c r="GQ29" s="55">
        <f t="shared" si="30"/>
        <v>601.04232969447264</v>
      </c>
      <c r="GR29" s="55">
        <f t="shared" si="31"/>
        <v>-1.8570817789247362</v>
      </c>
      <c r="GS29" s="34">
        <f t="shared" si="32"/>
        <v>601.04519866420424</v>
      </c>
      <c r="GT29" s="56">
        <f t="shared" si="33"/>
        <v>618.35022300414801</v>
      </c>
      <c r="GU29" s="56">
        <f t="shared" si="33"/>
        <v>66.953638614183177</v>
      </c>
      <c r="GV29" s="34">
        <f t="shared" si="34"/>
        <v>621.96445880207511</v>
      </c>
      <c r="GW29" s="30">
        <f t="shared" si="35"/>
        <v>573.07395459054078</v>
      </c>
      <c r="GX29" s="30">
        <f t="shared" si="3"/>
        <v>-61.196065670131716</v>
      </c>
      <c r="GY29" s="34">
        <f t="shared" si="36"/>
        <v>576.33212289750452</v>
      </c>
      <c r="GZ29" s="34">
        <f t="shared" si="4"/>
        <v>589.32808231803767</v>
      </c>
      <c r="HA29" s="34">
        <f t="shared" si="4"/>
        <v>5.7832557085576894</v>
      </c>
      <c r="HB29" s="34">
        <f t="shared" si="37"/>
        <v>589.35645805848799</v>
      </c>
      <c r="HC29" s="33">
        <f t="shared" si="5"/>
        <v>0.97130666557722178</v>
      </c>
      <c r="HD29" s="33">
        <f t="shared" si="6"/>
        <v>-0.11337213089488364</v>
      </c>
      <c r="HE29" s="33">
        <f t="shared" si="38"/>
        <v>0.9779007509243397</v>
      </c>
      <c r="HF29" s="33">
        <f t="shared" si="39"/>
        <v>0.92299130159504073</v>
      </c>
      <c r="HG29" s="33">
        <f t="shared" si="7"/>
        <v>-0.21037186432051219</v>
      </c>
      <c r="HH29" s="33">
        <f t="shared" si="40"/>
        <v>0.94666217000458797</v>
      </c>
      <c r="HI29" s="30">
        <f t="shared" si="54"/>
        <v>0.92073613227588857</v>
      </c>
      <c r="HJ29" s="30">
        <f t="shared" si="41"/>
        <v>-0.21281124345032704</v>
      </c>
      <c r="HK29" s="33">
        <f t="shared" si="42"/>
        <v>0.9450098679999257</v>
      </c>
      <c r="HL29" s="61">
        <f t="shared" si="43"/>
        <v>0.91846607859792662</v>
      </c>
      <c r="HM29" s="61">
        <f t="shared" si="44"/>
        <v>-0.21523669153958486</v>
      </c>
      <c r="HN29" s="33">
        <f t="shared" si="45"/>
        <v>0.94334870059801268</v>
      </c>
      <c r="HO29" s="30">
        <f t="shared" si="46"/>
        <v>-0.47609955148416816</v>
      </c>
      <c r="HP29" s="30">
        <f t="shared" si="47"/>
        <v>-0.19480265433027394</v>
      </c>
      <c r="HQ29" s="29">
        <v>13</v>
      </c>
      <c r="HR29" s="30">
        <v>81.681408993334628</v>
      </c>
      <c r="HS29" s="30">
        <f t="shared" si="48"/>
        <v>-0.28129689715389422</v>
      </c>
      <c r="HT29" s="30">
        <f t="shared" si="49"/>
        <v>-0.50655488855990149</v>
      </c>
      <c r="HU29" s="30">
        <f t="shared" si="50"/>
        <v>-0.22525799140600727</v>
      </c>
      <c r="HV29" s="30">
        <f t="shared" si="8"/>
        <v>19.423431223316317</v>
      </c>
      <c r="HW29" s="30">
        <f t="shared" si="9"/>
        <v>19.631340468690521</v>
      </c>
      <c r="HX29" s="73">
        <f t="shared" si="51"/>
        <v>-10.643541941512012</v>
      </c>
      <c r="HY29" s="30">
        <f t="shared" si="52"/>
        <v>19.45388656039205</v>
      </c>
      <c r="HZ29" s="74">
        <f t="shared" si="53"/>
        <v>-0.20790924537420352</v>
      </c>
    </row>
    <row r="30" spans="1:244" ht="15" customHeight="1">
      <c r="AI30" s="65" t="s">
        <v>38</v>
      </c>
      <c r="AJ30" s="136">
        <f>FP11</f>
        <v>491</v>
      </c>
      <c r="AK30" s="136"/>
      <c r="AL30" s="136"/>
      <c r="AM30" s="136"/>
      <c r="AN30" s="30" t="s">
        <v>43</v>
      </c>
      <c r="AW30" s="137" t="s">
        <v>13</v>
      </c>
      <c r="AX30" s="137"/>
      <c r="AY30" s="138" t="s">
        <v>20</v>
      </c>
      <c r="AZ30" s="138"/>
      <c r="BA30" s="138"/>
      <c r="BB30" s="138"/>
      <c r="BC30" s="138"/>
      <c r="BD30" s="138"/>
      <c r="BE30" s="139" t="s">
        <v>33</v>
      </c>
      <c r="BF30" s="138" t="s">
        <v>35</v>
      </c>
      <c r="BG30" s="138"/>
      <c r="BH30" s="138"/>
      <c r="BI30" s="138"/>
      <c r="BJ30" s="138"/>
      <c r="BK30" s="138"/>
      <c r="BL30" s="138"/>
      <c r="BM30" s="138"/>
      <c r="BN30" s="138"/>
      <c r="BO30" s="138"/>
      <c r="BP30" s="138"/>
      <c r="BQ30" s="138"/>
      <c r="BR30" s="139" t="s">
        <v>33</v>
      </c>
      <c r="BS30" s="138" t="s">
        <v>93</v>
      </c>
      <c r="BT30" s="138"/>
      <c r="BU30" s="138"/>
      <c r="BV30" s="138"/>
      <c r="BW30" s="138"/>
      <c r="BX30" s="138"/>
      <c r="BY30" s="138"/>
      <c r="BZ30" s="138"/>
      <c r="CA30" s="138"/>
      <c r="CB30" s="138"/>
      <c r="CC30" s="138"/>
      <c r="CD30" s="140" t="s">
        <v>91</v>
      </c>
      <c r="CE30" s="157" t="s">
        <v>94</v>
      </c>
      <c r="CF30" s="157"/>
      <c r="CG30" s="157"/>
      <c r="CH30" s="157"/>
      <c r="CI30" s="157"/>
      <c r="CJ30" s="157"/>
      <c r="CK30" s="157"/>
      <c r="CL30" s="157"/>
      <c r="CM30" s="139" t="s">
        <v>33</v>
      </c>
      <c r="CN30" s="157">
        <f>AJ30*(2*AJ30*AJ35+AJ35^2+(AJ43*AJ37)^2)</f>
        <v>12481875.516459893</v>
      </c>
      <c r="CO30" s="157"/>
      <c r="CP30" s="157"/>
      <c r="CQ30" s="157"/>
      <c r="CR30" s="140" t="s">
        <v>91</v>
      </c>
      <c r="CS30" s="138">
        <f>2*AJ30^2*AJ43*AJ37</f>
        <v>52107626.938181564</v>
      </c>
      <c r="CT30" s="138"/>
      <c r="CU30" s="138"/>
      <c r="CV30" s="138"/>
      <c r="CW30" s="139" t="s">
        <v>33</v>
      </c>
      <c r="CX30" s="145">
        <f>CN30/CN31</f>
        <v>12.440858812812751</v>
      </c>
      <c r="CY30" s="146"/>
      <c r="CZ30" s="146"/>
      <c r="DA30" s="147"/>
      <c r="DB30" s="115" t="s">
        <v>91</v>
      </c>
      <c r="DC30" s="151">
        <f>CS30/CS31</f>
        <v>51.93639601306451</v>
      </c>
      <c r="DD30" s="152"/>
      <c r="DE30" s="152"/>
      <c r="DF30" s="153"/>
      <c r="DG30" s="108" t="s">
        <v>33</v>
      </c>
      <c r="DH30" s="108" t="s">
        <v>95</v>
      </c>
      <c r="DI30" s="108"/>
      <c r="DJ30" s="115" t="s">
        <v>96</v>
      </c>
      <c r="DK30" s="108" t="s">
        <v>97</v>
      </c>
      <c r="DL30" s="108"/>
      <c r="FO30" s="65" t="s">
        <v>226</v>
      </c>
      <c r="FP30" s="30">
        <f t="shared" si="10"/>
        <v>299.47508875723116</v>
      </c>
      <c r="FT30" s="29">
        <v>15</v>
      </c>
      <c r="FU30" s="27">
        <f t="shared" si="11"/>
        <v>94.247779607693786</v>
      </c>
      <c r="FV30" s="30">
        <f t="shared" si="12"/>
        <v>19.304567285490101</v>
      </c>
      <c r="FW30" s="30">
        <f t="shared" si="13"/>
        <v>76.787251614003367</v>
      </c>
      <c r="FX30" s="34">
        <f t="shared" si="14"/>
        <v>79.176690563020358</v>
      </c>
      <c r="FY30" s="30">
        <f t="shared" si="15"/>
        <v>235.84771635725494</v>
      </c>
      <c r="FZ30" s="30">
        <f t="shared" si="16"/>
        <v>-38.393625807001683</v>
      </c>
      <c r="GA30" s="34">
        <f t="shared" si="17"/>
        <v>238.95232958383195</v>
      </c>
      <c r="GB30" s="34">
        <f t="shared" si="18"/>
        <v>1.0556211380254188</v>
      </c>
      <c r="GC30" s="34">
        <f t="shared" si="19"/>
        <v>2.113146162325322</v>
      </c>
      <c r="GD30" s="34">
        <f t="shared" si="20"/>
        <v>2.3621436642161111</v>
      </c>
      <c r="GE30" s="55">
        <f t="shared" si="21"/>
        <v>299.47218943098733</v>
      </c>
      <c r="GF30" s="55">
        <f t="shared" si="22"/>
        <v>-1.056573081162661</v>
      </c>
      <c r="GG30" s="34">
        <f t="shared" si="23"/>
        <v>299.47405328219173</v>
      </c>
      <c r="GH30" s="30">
        <f t="shared" si="24"/>
        <v>754.66903345142919</v>
      </c>
      <c r="GI30" s="30">
        <f t="shared" si="0"/>
        <v>-2186.7869801058714</v>
      </c>
      <c r="GJ30" s="34">
        <f t="shared" si="25"/>
        <v>2313.3444720601105</v>
      </c>
      <c r="GK30" s="34">
        <f t="shared" si="26"/>
        <v>299.47218943098733</v>
      </c>
      <c r="GL30" s="34">
        <f t="shared" si="27"/>
        <v>-84883.692888758684</v>
      </c>
      <c r="GM30" s="34">
        <f t="shared" si="28"/>
        <v>84884.221160503934</v>
      </c>
      <c r="GN30" s="55">
        <f t="shared" si="1"/>
        <v>601.05562113802546</v>
      </c>
      <c r="GO30" s="55">
        <f t="shared" si="2"/>
        <v>2.113146162325322</v>
      </c>
      <c r="GP30" s="34">
        <f t="shared" si="29"/>
        <v>601.05933574674725</v>
      </c>
      <c r="GQ30" s="55">
        <f t="shared" si="30"/>
        <v>601.04039589647175</v>
      </c>
      <c r="GR30" s="55">
        <f t="shared" si="31"/>
        <v>-2.1427793830870416</v>
      </c>
      <c r="GS30" s="34">
        <f t="shared" si="32"/>
        <v>601.04421551402697</v>
      </c>
      <c r="GT30" s="56">
        <f t="shared" si="33"/>
        <v>621.40058431998727</v>
      </c>
      <c r="GU30" s="56">
        <f t="shared" si="33"/>
        <v>76.757618393241643</v>
      </c>
      <c r="GV30" s="34">
        <f t="shared" si="34"/>
        <v>626.12332505236066</v>
      </c>
      <c r="GW30" s="30">
        <f t="shared" si="35"/>
        <v>570.66441154481686</v>
      </c>
      <c r="GX30" s="30">
        <f t="shared" si="3"/>
        <v>-70.363769567891353</v>
      </c>
      <c r="GY30" s="34">
        <f t="shared" si="36"/>
        <v>574.98602650116231</v>
      </c>
      <c r="GZ30" s="34">
        <f t="shared" si="4"/>
        <v>589.96897883030692</v>
      </c>
      <c r="HA30" s="34">
        <f t="shared" si="4"/>
        <v>6.4234820461120137</v>
      </c>
      <c r="HB30" s="34">
        <f t="shared" si="37"/>
        <v>590.0039466848267</v>
      </c>
      <c r="HC30" s="33">
        <f t="shared" si="5"/>
        <v>0.96586561788871572</v>
      </c>
      <c r="HD30" s="33">
        <f t="shared" si="6"/>
        <v>-0.12978307804448086</v>
      </c>
      <c r="HE30" s="33">
        <f t="shared" si="38"/>
        <v>0.9745460682626812</v>
      </c>
      <c r="HF30" s="33">
        <f t="shared" si="39"/>
        <v>0.90648351634929714</v>
      </c>
      <c r="HG30" s="33">
        <f t="shared" si="7"/>
        <v>-0.23776934820157858</v>
      </c>
      <c r="HH30" s="33">
        <f t="shared" si="40"/>
        <v>0.9371481357593312</v>
      </c>
      <c r="HI30" s="30">
        <f t="shared" si="54"/>
        <v>0.90405987862573323</v>
      </c>
      <c r="HJ30" s="30">
        <f t="shared" si="41"/>
        <v>-0.24053403952479802</v>
      </c>
      <c r="HK30" s="33">
        <f t="shared" si="42"/>
        <v>0.93551103056612461</v>
      </c>
      <c r="HL30" s="61">
        <f t="shared" si="43"/>
        <v>0.901616787023099</v>
      </c>
      <c r="HM30" s="61">
        <f t="shared" si="44"/>
        <v>-0.24328143124492252</v>
      </c>
      <c r="HN30" s="33">
        <f t="shared" si="45"/>
        <v>0.93386224114182614</v>
      </c>
      <c r="HO30" s="30">
        <f t="shared" si="46"/>
        <v>-0.56383508815957462</v>
      </c>
      <c r="HP30" s="30">
        <f t="shared" si="47"/>
        <v>-0.19328204367736762</v>
      </c>
      <c r="HQ30" s="29">
        <v>15</v>
      </c>
      <c r="HR30" s="30">
        <v>94.247779607693786</v>
      </c>
      <c r="HS30" s="30">
        <f t="shared" si="48"/>
        <v>-0.37055304448220699</v>
      </c>
      <c r="HT30" s="30">
        <f t="shared" si="49"/>
        <v>-0.59434368148986483</v>
      </c>
      <c r="HU30" s="30">
        <f t="shared" si="50"/>
        <v>-0.22379063700765783</v>
      </c>
      <c r="HV30" s="30">
        <f t="shared" si="8"/>
        <v>19.335642430386354</v>
      </c>
      <c r="HW30" s="30">
        <f t="shared" si="9"/>
        <v>19.542084321362207</v>
      </c>
      <c r="HX30" s="73">
        <f t="shared" si="51"/>
        <v>-9.9960533151732989</v>
      </c>
      <c r="HY30" s="30">
        <f t="shared" si="52"/>
        <v>19.366151023716643</v>
      </c>
      <c r="HZ30" s="74">
        <f t="shared" si="53"/>
        <v>-0.20644189097585297</v>
      </c>
    </row>
    <row r="31" spans="1:244" ht="15" customHeight="1" thickBot="1">
      <c r="AI31" s="65" t="s">
        <v>39</v>
      </c>
      <c r="AJ31" s="136">
        <f t="shared" ref="AJ31:AJ38" si="55">FP12</f>
        <v>600</v>
      </c>
      <c r="AK31" s="136"/>
      <c r="AL31" s="136"/>
      <c r="AM31" s="136"/>
      <c r="AN31" s="30" t="s">
        <v>43</v>
      </c>
      <c r="AW31" s="137"/>
      <c r="AX31" s="137"/>
      <c r="AY31" s="139" t="s">
        <v>14</v>
      </c>
      <c r="AZ31" s="139"/>
      <c r="BA31" s="139"/>
      <c r="BB31" s="139"/>
      <c r="BC31" s="139"/>
      <c r="BD31" s="139"/>
      <c r="BE31" s="139"/>
      <c r="BF31" s="139" t="s">
        <v>34</v>
      </c>
      <c r="BG31" s="139"/>
      <c r="BH31" s="139"/>
      <c r="BI31" s="139"/>
      <c r="BJ31" s="139"/>
      <c r="BK31" s="139"/>
      <c r="BL31" s="139"/>
      <c r="BM31" s="139"/>
      <c r="BN31" s="139"/>
      <c r="BO31" s="139"/>
      <c r="BP31" s="139"/>
      <c r="BQ31" s="139"/>
      <c r="BR31" s="139"/>
      <c r="BS31" s="143" t="s">
        <v>34</v>
      </c>
      <c r="BT31" s="143"/>
      <c r="BU31" s="143"/>
      <c r="BV31" s="143"/>
      <c r="BW31" s="143"/>
      <c r="BX31" s="143"/>
      <c r="BY31" s="143"/>
      <c r="BZ31" s="143"/>
      <c r="CA31" s="143"/>
      <c r="CB31" s="143"/>
      <c r="CC31" s="143"/>
      <c r="CD31" s="139"/>
      <c r="CE31" s="143" t="s">
        <v>34</v>
      </c>
      <c r="CF31" s="143"/>
      <c r="CG31" s="143"/>
      <c r="CH31" s="143"/>
      <c r="CI31" s="143"/>
      <c r="CJ31" s="143"/>
      <c r="CK31" s="143"/>
      <c r="CL31" s="143"/>
      <c r="CM31" s="139"/>
      <c r="CN31" s="144">
        <f>(2*AJ30+AJ35)^2+(AJ43*AJ37)^2</f>
        <v>1003296.935064073</v>
      </c>
      <c r="CO31" s="144"/>
      <c r="CP31" s="144"/>
      <c r="CQ31" s="144"/>
      <c r="CR31" s="139"/>
      <c r="CS31" s="139">
        <f>CN31</f>
        <v>1003296.935064073</v>
      </c>
      <c r="CT31" s="139"/>
      <c r="CU31" s="139"/>
      <c r="CV31" s="139"/>
      <c r="CW31" s="139"/>
      <c r="CX31" s="148"/>
      <c r="CY31" s="149"/>
      <c r="CZ31" s="115"/>
      <c r="DA31" s="150"/>
      <c r="DB31" s="116"/>
      <c r="DC31" s="154"/>
      <c r="DD31" s="155"/>
      <c r="DE31" s="155"/>
      <c r="DF31" s="156"/>
      <c r="DG31" s="108"/>
      <c r="DH31" s="108"/>
      <c r="DI31" s="108"/>
      <c r="DJ31" s="116"/>
      <c r="DK31" s="108"/>
      <c r="DL31" s="108"/>
      <c r="FO31" s="65" t="s">
        <v>227</v>
      </c>
      <c r="FP31" s="30">
        <f t="shared" si="10"/>
        <v>3350.2639214884985</v>
      </c>
      <c r="FT31" s="29">
        <v>17</v>
      </c>
      <c r="FU31" s="27">
        <f t="shared" si="11"/>
        <v>106.81415022205297</v>
      </c>
      <c r="FV31" s="30">
        <f t="shared" si="12"/>
        <v>22.743133001995698</v>
      </c>
      <c r="FW31" s="30">
        <f t="shared" si="13"/>
        <v>86.391152896702422</v>
      </c>
      <c r="FX31" s="34">
        <f t="shared" si="14"/>
        <v>89.334659553657445</v>
      </c>
      <c r="FY31" s="30">
        <f t="shared" si="15"/>
        <v>234.12843349900217</v>
      </c>
      <c r="FZ31" s="30">
        <f t="shared" si="16"/>
        <v>-43.195576448351211</v>
      </c>
      <c r="GA31" s="34">
        <f t="shared" si="17"/>
        <v>238.07977906030163</v>
      </c>
      <c r="GB31" s="34">
        <f t="shared" si="18"/>
        <v>1.0577417592010157</v>
      </c>
      <c r="GC31" s="34">
        <f t="shared" si="19"/>
        <v>2.3948905045945228</v>
      </c>
      <c r="GD31" s="34">
        <f t="shared" si="20"/>
        <v>2.6180752774041216</v>
      </c>
      <c r="GE31" s="55">
        <f t="shared" si="21"/>
        <v>299.4711291203995</v>
      </c>
      <c r="GF31" s="55">
        <f t="shared" si="22"/>
        <v>-1.1974452522972614</v>
      </c>
      <c r="GG31" s="34">
        <f t="shared" si="23"/>
        <v>299.47352312312893</v>
      </c>
      <c r="GH31" s="30">
        <f t="shared" si="24"/>
        <v>667.14157850862421</v>
      </c>
      <c r="GI31" s="30">
        <f t="shared" si="0"/>
        <v>-1952.8566818428835</v>
      </c>
      <c r="GJ31" s="34">
        <f t="shared" si="25"/>
        <v>2063.6683613394321</v>
      </c>
      <c r="GK31" s="34">
        <f t="shared" si="26"/>
        <v>299.4711291203995</v>
      </c>
      <c r="GL31" s="34">
        <f t="shared" si="27"/>
        <v>-74897.641253203037</v>
      </c>
      <c r="GM31" s="34">
        <f t="shared" si="28"/>
        <v>74898.239954291843</v>
      </c>
      <c r="GN31" s="55">
        <f t="shared" si="1"/>
        <v>601.05774175920101</v>
      </c>
      <c r="GO31" s="55">
        <f t="shared" si="2"/>
        <v>2.3948905045945228</v>
      </c>
      <c r="GP31" s="34">
        <f t="shared" si="29"/>
        <v>601.06251291292438</v>
      </c>
      <c r="GQ31" s="55">
        <f t="shared" si="30"/>
        <v>601.03818585967429</v>
      </c>
      <c r="GR31" s="55">
        <f t="shared" si="31"/>
        <v>-2.4284738652427138</v>
      </c>
      <c r="GS31" s="34">
        <f t="shared" si="32"/>
        <v>601.04309192170456</v>
      </c>
      <c r="GT31" s="56">
        <f t="shared" si="33"/>
        <v>624.83906062087101</v>
      </c>
      <c r="GU31" s="56">
        <f t="shared" si="33"/>
        <v>86.357569536054243</v>
      </c>
      <c r="GV31" s="34">
        <f t="shared" si="34"/>
        <v>630.77847259853991</v>
      </c>
      <c r="GW31" s="30">
        <f t="shared" si="35"/>
        <v>567.91066075027777</v>
      </c>
      <c r="GX31" s="30">
        <f t="shared" si="3"/>
        <v>-79.415791603967293</v>
      </c>
      <c r="GY31" s="34">
        <f t="shared" si="36"/>
        <v>573.43647124149845</v>
      </c>
      <c r="GZ31" s="34">
        <f t="shared" si="4"/>
        <v>590.65379375227349</v>
      </c>
      <c r="HA31" s="34">
        <f t="shared" si="4"/>
        <v>6.9753612927351298</v>
      </c>
      <c r="HB31" s="34">
        <f t="shared" si="37"/>
        <v>590.69498028941928</v>
      </c>
      <c r="HC31" s="33">
        <f t="shared" si="5"/>
        <v>0.95977328677941431</v>
      </c>
      <c r="HD31" s="33">
        <f t="shared" si="6"/>
        <v>-0.14578854474349706</v>
      </c>
      <c r="HE31" s="33">
        <f t="shared" si="38"/>
        <v>0.97078270575540571</v>
      </c>
      <c r="HF31" s="33">
        <f t="shared" si="39"/>
        <v>0.88843803649707198</v>
      </c>
      <c r="HG31" s="33">
        <f t="shared" si="7"/>
        <v>-0.26332263998949457</v>
      </c>
      <c r="HH31" s="33">
        <f t="shared" si="40"/>
        <v>0.92663960493053044</v>
      </c>
      <c r="HI31" s="30">
        <f t="shared" si="54"/>
        <v>0.88583004052474001</v>
      </c>
      <c r="HJ31" s="30">
        <f t="shared" si="41"/>
        <v>-0.2663940310511318</v>
      </c>
      <c r="HK31" s="33">
        <f t="shared" si="42"/>
        <v>0.92501926492140363</v>
      </c>
      <c r="HL31" s="61">
        <f t="shared" si="43"/>
        <v>0.88319756630214208</v>
      </c>
      <c r="HM31" s="61">
        <f t="shared" si="44"/>
        <v>-0.26944429602036302</v>
      </c>
      <c r="HN31" s="33">
        <f t="shared" si="45"/>
        <v>0.92338408573027486</v>
      </c>
      <c r="HO31" s="30">
        <f t="shared" si="46"/>
        <v>-0.66178283648397851</v>
      </c>
      <c r="HP31" s="30">
        <f t="shared" si="47"/>
        <v>-0.1914642585533694</v>
      </c>
      <c r="HQ31" s="29">
        <v>17</v>
      </c>
      <c r="HR31" s="30">
        <v>106.81415022205297</v>
      </c>
      <c r="HS31" s="30">
        <f t="shared" si="48"/>
        <v>-0.47031857793060911</v>
      </c>
      <c r="HT31" s="30">
        <f t="shared" si="49"/>
        <v>-0.69235229331686265</v>
      </c>
      <c r="HU31" s="30">
        <f t="shared" si="50"/>
        <v>-0.22203371538625355</v>
      </c>
      <c r="HV31" s="30">
        <f t="shared" si="8"/>
        <v>19.237633818559356</v>
      </c>
      <c r="HW31" s="30">
        <f t="shared" si="9"/>
        <v>19.442318787913806</v>
      </c>
      <c r="HX31" s="73">
        <f t="shared" si="51"/>
        <v>-9.3050197105807229</v>
      </c>
      <c r="HY31" s="30">
        <f t="shared" si="52"/>
        <v>19.268203275392239</v>
      </c>
      <c r="HZ31" s="74">
        <f t="shared" si="53"/>
        <v>-0.20468496935444946</v>
      </c>
    </row>
    <row r="32" spans="1:244" ht="15" customHeight="1">
      <c r="AI32" s="65" t="s">
        <v>40</v>
      </c>
      <c r="AJ32" s="136">
        <f t="shared" si="55"/>
        <v>121</v>
      </c>
      <c r="AK32" s="136"/>
      <c r="AL32" s="136"/>
      <c r="AM32" s="136"/>
      <c r="AN32" s="30" t="s">
        <v>43</v>
      </c>
      <c r="AW32" s="137" t="s">
        <v>15</v>
      </c>
      <c r="AX32" s="137"/>
      <c r="AY32" s="141" t="s">
        <v>16</v>
      </c>
      <c r="AZ32" s="141"/>
      <c r="BA32" s="141"/>
      <c r="BB32" s="141"/>
      <c r="BC32" s="141"/>
      <c r="BD32" s="141"/>
      <c r="BE32" s="142" t="s">
        <v>33</v>
      </c>
      <c r="BF32" s="141" t="s">
        <v>89</v>
      </c>
      <c r="BG32" s="141"/>
      <c r="BH32" s="141"/>
      <c r="BI32" s="141"/>
      <c r="BJ32" s="141"/>
      <c r="BK32" s="141"/>
      <c r="BL32" s="141"/>
      <c r="BM32" s="141"/>
      <c r="BN32" s="141"/>
      <c r="BO32" s="141"/>
      <c r="BP32" s="141"/>
      <c r="BQ32" s="141"/>
      <c r="BR32" s="142" t="s">
        <v>33</v>
      </c>
      <c r="BS32" s="141" t="s">
        <v>90</v>
      </c>
      <c r="BT32" s="141"/>
      <c r="BU32" s="141"/>
      <c r="BV32" s="141"/>
      <c r="BW32" s="141"/>
      <c r="BX32" s="141"/>
      <c r="BY32" s="141"/>
      <c r="BZ32" s="141"/>
      <c r="CA32" s="160" t="s">
        <v>91</v>
      </c>
      <c r="CB32" s="161" t="s">
        <v>92</v>
      </c>
      <c r="CC32" s="161"/>
      <c r="CD32" s="161"/>
      <c r="CE32" s="161"/>
      <c r="CF32" s="161"/>
      <c r="CG32" s="161"/>
      <c r="CH32" s="161"/>
      <c r="CI32" s="14"/>
      <c r="CJ32" s="104" t="s">
        <v>33</v>
      </c>
      <c r="CK32" s="106">
        <f>AJ30^2*(2*AJ30+AJ35)</f>
        <v>240068459.79999998</v>
      </c>
      <c r="CL32" s="106"/>
      <c r="CM32" s="106"/>
      <c r="CN32" s="106"/>
      <c r="CO32" s="107" t="s">
        <v>91</v>
      </c>
      <c r="CP32" s="106">
        <f>-(AJ30^2*AJ43*AJ37)</f>
        <v>-26053813.469090782</v>
      </c>
      <c r="CQ32" s="106"/>
      <c r="CR32" s="106"/>
      <c r="CS32" s="106"/>
      <c r="CT32" s="104" t="s">
        <v>33</v>
      </c>
      <c r="CU32" s="151">
        <f>CK32/CK33</f>
        <v>239.27957059359363</v>
      </c>
      <c r="CV32" s="152"/>
      <c r="CW32" s="152"/>
      <c r="CX32" s="153"/>
      <c r="CY32" s="115" t="s">
        <v>91</v>
      </c>
      <c r="CZ32" s="151">
        <f>CP32/CP33</f>
        <v>-25.968198006532255</v>
      </c>
      <c r="DA32" s="152"/>
      <c r="DB32" s="152"/>
      <c r="DC32" s="153"/>
      <c r="DD32" s="108" t="s">
        <v>33</v>
      </c>
      <c r="DE32" s="108" t="s">
        <v>98</v>
      </c>
      <c r="DF32" s="108"/>
      <c r="DG32" s="115" t="s">
        <v>96</v>
      </c>
      <c r="DH32" s="108" t="s">
        <v>99</v>
      </c>
      <c r="DI32" s="108"/>
      <c r="FO32" s="65" t="s">
        <v>228</v>
      </c>
      <c r="FP32" s="30">
        <f>SQRT(FP54^2+FR54^2)</f>
        <v>127325.01104952006</v>
      </c>
      <c r="FT32" s="29">
        <v>20</v>
      </c>
      <c r="FU32" s="27">
        <f t="shared" si="11"/>
        <v>125.66370614359172</v>
      </c>
      <c r="FV32" s="30">
        <f t="shared" si="12"/>
        <v>28.589503661749784</v>
      </c>
      <c r="FW32" s="30">
        <f t="shared" si="13"/>
        <v>100.36767701832407</v>
      </c>
      <c r="FX32" s="34">
        <f t="shared" si="14"/>
        <v>104.36009922225938</v>
      </c>
      <c r="FY32" s="30">
        <f t="shared" si="15"/>
        <v>231.2052481691251</v>
      </c>
      <c r="FZ32" s="30">
        <f t="shared" si="16"/>
        <v>-50.183838509162037</v>
      </c>
      <c r="GA32" s="34">
        <f t="shared" si="17"/>
        <v>236.58885102316293</v>
      </c>
      <c r="GB32" s="34">
        <f t="shared" si="18"/>
        <v>1.0614196759452184</v>
      </c>
      <c r="GC32" s="34">
        <f t="shared" si="19"/>
        <v>2.8175009392027217</v>
      </c>
      <c r="GD32" s="34">
        <f t="shared" si="20"/>
        <v>3.01080110118418</v>
      </c>
      <c r="GE32" s="55">
        <f t="shared" si="21"/>
        <v>299.46929016202739</v>
      </c>
      <c r="GF32" s="55">
        <f t="shared" si="22"/>
        <v>-1.4087504696013609</v>
      </c>
      <c r="GG32" s="34">
        <f t="shared" si="23"/>
        <v>299.47260363518092</v>
      </c>
      <c r="GH32" s="30">
        <f t="shared" si="24"/>
        <v>579.27310907875312</v>
      </c>
      <c r="GI32" s="30">
        <f t="shared" si="0"/>
        <v>-1685.1928652296453</v>
      </c>
      <c r="GJ32" s="34">
        <f t="shared" si="25"/>
        <v>1781.9742781316083</v>
      </c>
      <c r="GK32" s="34">
        <f t="shared" si="26"/>
        <v>299.46929016202739</v>
      </c>
      <c r="GL32" s="34">
        <f t="shared" si="27"/>
        <v>-63663.385987227746</v>
      </c>
      <c r="GM32" s="34">
        <f t="shared" si="28"/>
        <v>63664.090327393322</v>
      </c>
      <c r="GN32" s="55">
        <f t="shared" si="1"/>
        <v>601.06141967594522</v>
      </c>
      <c r="GO32" s="55">
        <f t="shared" si="2"/>
        <v>2.8175009392027217</v>
      </c>
      <c r="GP32" s="34">
        <f t="shared" si="29"/>
        <v>601.06802321734369</v>
      </c>
      <c r="GQ32" s="55">
        <f t="shared" si="30"/>
        <v>601.03435287278364</v>
      </c>
      <c r="GR32" s="55">
        <f t="shared" si="31"/>
        <v>-2.8570088242729534</v>
      </c>
      <c r="GS32" s="34">
        <f t="shared" si="32"/>
        <v>601.0411432112013</v>
      </c>
      <c r="GT32" s="56">
        <f t="shared" si="33"/>
        <v>630.68527621047861</v>
      </c>
      <c r="GU32" s="56">
        <f t="shared" si="33"/>
        <v>100.32816913325384</v>
      </c>
      <c r="GV32" s="34">
        <f t="shared" si="34"/>
        <v>638.61542351427624</v>
      </c>
      <c r="GW32" s="30">
        <f t="shared" si="35"/>
        <v>563.14345803131164</v>
      </c>
      <c r="GX32" s="30">
        <f t="shared" si="3"/>
        <v>-92.732719658784603</v>
      </c>
      <c r="GY32" s="34">
        <f t="shared" si="36"/>
        <v>570.72752835199594</v>
      </c>
      <c r="GZ32" s="34">
        <f t="shared" si="4"/>
        <v>591.73296169306138</v>
      </c>
      <c r="HA32" s="34">
        <f t="shared" si="4"/>
        <v>7.6349573595394702</v>
      </c>
      <c r="HB32" s="34">
        <f t="shared" si="37"/>
        <v>591.78221545423617</v>
      </c>
      <c r="HC32" s="33">
        <f t="shared" si="5"/>
        <v>0.94950501993481251</v>
      </c>
      <c r="HD32" s="33">
        <f t="shared" si="6"/>
        <v>-0.16896498331373577</v>
      </c>
      <c r="HE32" s="33">
        <f t="shared" si="38"/>
        <v>0.96442156159410897</v>
      </c>
      <c r="HF32" s="33">
        <f t="shared" si="39"/>
        <v>0.85904409843011054</v>
      </c>
      <c r="HG32" s="33">
        <f t="shared" si="7"/>
        <v>-0.29802017549345927</v>
      </c>
      <c r="HH32" s="33">
        <f t="shared" si="40"/>
        <v>0.90927047023905583</v>
      </c>
      <c r="HI32" s="30">
        <f t="shared" si="54"/>
        <v>0.85613535792017925</v>
      </c>
      <c r="HJ32" s="30">
        <f t="shared" si="41"/>
        <v>-0.30151488196735576</v>
      </c>
      <c r="HK32" s="33">
        <f t="shared" si="42"/>
        <v>0.90767779257228831</v>
      </c>
      <c r="HL32" s="61">
        <f t="shared" si="43"/>
        <v>0.85319388569880161</v>
      </c>
      <c r="HM32" s="61">
        <f t="shared" si="44"/>
        <v>-0.30498181675596925</v>
      </c>
      <c r="HN32" s="33">
        <f t="shared" si="45"/>
        <v>0.90606496187944019</v>
      </c>
      <c r="HO32" s="30">
        <f t="shared" si="46"/>
        <v>-0.82613825942610475</v>
      </c>
      <c r="HP32" s="30">
        <f t="shared" si="47"/>
        <v>-0.18815255286078847</v>
      </c>
      <c r="HQ32" s="29">
        <v>20</v>
      </c>
      <c r="HR32" s="30">
        <v>125.66370614359172</v>
      </c>
      <c r="HS32" s="30">
        <f t="shared" si="48"/>
        <v>-0.63798570656531628</v>
      </c>
      <c r="HT32" s="30">
        <f t="shared" si="49"/>
        <v>-0.85681327440245969</v>
      </c>
      <c r="HU32" s="30">
        <f t="shared" si="50"/>
        <v>-0.21882756783714341</v>
      </c>
      <c r="HV32" s="30">
        <f t="shared" si="8"/>
        <v>19.073172837473759</v>
      </c>
      <c r="HW32" s="30">
        <f t="shared" si="9"/>
        <v>19.274651659279098</v>
      </c>
      <c r="HX32" s="73">
        <f t="shared" si="51"/>
        <v>-8.2177845457638341</v>
      </c>
      <c r="HY32" s="30">
        <f t="shared" si="52"/>
        <v>19.103847852450112</v>
      </c>
      <c r="HZ32" s="74">
        <f t="shared" si="53"/>
        <v>-0.20147882180533827</v>
      </c>
    </row>
    <row r="33" spans="1:234" ht="15" customHeight="1" thickBot="1">
      <c r="AI33" s="65" t="s">
        <v>41</v>
      </c>
      <c r="AJ33" s="136">
        <f t="shared" si="55"/>
        <v>12000</v>
      </c>
      <c r="AK33" s="136"/>
      <c r="AL33" s="136"/>
      <c r="AM33" s="136"/>
      <c r="AN33" s="30" t="s">
        <v>43</v>
      </c>
      <c r="AW33" s="137"/>
      <c r="AX33" s="137"/>
      <c r="AY33" s="142" t="s">
        <v>14</v>
      </c>
      <c r="AZ33" s="142"/>
      <c r="BA33" s="142"/>
      <c r="BB33" s="142"/>
      <c r="BC33" s="142"/>
      <c r="BD33" s="142"/>
      <c r="BE33" s="142"/>
      <c r="BF33" s="142" t="s">
        <v>34</v>
      </c>
      <c r="BG33" s="142"/>
      <c r="BH33" s="142"/>
      <c r="BI33" s="142"/>
      <c r="BJ33" s="142"/>
      <c r="BK33" s="142"/>
      <c r="BL33" s="142"/>
      <c r="BM33" s="142"/>
      <c r="BN33" s="142"/>
      <c r="BO33" s="142"/>
      <c r="BP33" s="142"/>
      <c r="BQ33" s="142"/>
      <c r="BR33" s="142"/>
      <c r="BS33" s="158" t="s">
        <v>88</v>
      </c>
      <c r="BT33" s="158"/>
      <c r="BU33" s="158"/>
      <c r="BV33" s="158"/>
      <c r="BW33" s="158"/>
      <c r="BX33" s="158"/>
      <c r="BY33" s="158"/>
      <c r="BZ33" s="158"/>
      <c r="CA33" s="142"/>
      <c r="CB33" s="158" t="s">
        <v>88</v>
      </c>
      <c r="CC33" s="158"/>
      <c r="CD33" s="158"/>
      <c r="CE33" s="158"/>
      <c r="CF33" s="158"/>
      <c r="CG33" s="158"/>
      <c r="CH33" s="158"/>
      <c r="CI33" s="158"/>
      <c r="CJ33" s="104"/>
      <c r="CK33" s="108">
        <f>CN31</f>
        <v>1003296.935064073</v>
      </c>
      <c r="CL33" s="108"/>
      <c r="CM33" s="108"/>
      <c r="CN33" s="108"/>
      <c r="CO33" s="104"/>
      <c r="CP33" s="108">
        <f>CK33</f>
        <v>1003296.935064073</v>
      </c>
      <c r="CQ33" s="108"/>
      <c r="CR33" s="108"/>
      <c r="CS33" s="108"/>
      <c r="CT33" s="104"/>
      <c r="CU33" s="159"/>
      <c r="CV33" s="155"/>
      <c r="CW33" s="155"/>
      <c r="CX33" s="156"/>
      <c r="CY33" s="116"/>
      <c r="CZ33" s="159"/>
      <c r="DA33" s="155"/>
      <c r="DB33" s="155"/>
      <c r="DC33" s="156"/>
      <c r="DD33" s="108"/>
      <c r="DE33" s="108"/>
      <c r="DF33" s="108"/>
      <c r="DG33" s="116"/>
      <c r="DH33" s="108"/>
      <c r="DI33" s="108"/>
      <c r="FO33" s="65" t="s">
        <v>229</v>
      </c>
      <c r="FP33" s="30">
        <f t="shared" si="10"/>
        <v>601.05313023073916</v>
      </c>
      <c r="FT33" s="29">
        <v>25</v>
      </c>
      <c r="FU33" s="27">
        <f t="shared" si="11"/>
        <v>157.07963267948966</v>
      </c>
      <c r="FV33" s="30">
        <f t="shared" si="12"/>
        <v>40.003427537568591</v>
      </c>
      <c r="FW33" s="30">
        <f t="shared" si="13"/>
        <v>122.3628104242067</v>
      </c>
      <c r="FX33" s="34">
        <f t="shared" si="14"/>
        <v>128.73589860510489</v>
      </c>
      <c r="FY33" s="30">
        <f t="shared" si="15"/>
        <v>225.49828623121573</v>
      </c>
      <c r="FZ33" s="30">
        <f t="shared" si="16"/>
        <v>-61.18140521210335</v>
      </c>
      <c r="GA33" s="34">
        <f t="shared" si="17"/>
        <v>233.65068250904571</v>
      </c>
      <c r="GB33" s="34">
        <f t="shared" si="18"/>
        <v>1.068874774012476</v>
      </c>
      <c r="GC33" s="34">
        <f t="shared" si="19"/>
        <v>3.5218323365664426</v>
      </c>
      <c r="GD33" s="34">
        <f t="shared" si="20"/>
        <v>3.6804614234366415</v>
      </c>
      <c r="GE33" s="55">
        <f t="shared" si="21"/>
        <v>299.46556261299378</v>
      </c>
      <c r="GF33" s="55">
        <f t="shared" si="22"/>
        <v>-1.7609161682832213</v>
      </c>
      <c r="GG33" s="34">
        <f t="shared" si="23"/>
        <v>299.47073983424264</v>
      </c>
      <c r="GH33" s="30">
        <f t="shared" si="24"/>
        <v>492.81845544833971</v>
      </c>
      <c r="GI33" s="30">
        <f t="shared" si="0"/>
        <v>-1378.1599314932876</v>
      </c>
      <c r="GJ33" s="34">
        <f t="shared" si="25"/>
        <v>1463.6238679401447</v>
      </c>
      <c r="GK33" s="34">
        <f t="shared" si="26"/>
        <v>299.46556261299378</v>
      </c>
      <c r="GL33" s="34">
        <f t="shared" si="27"/>
        <v>-50931.342705574796</v>
      </c>
      <c r="GM33" s="34">
        <f t="shared" si="28"/>
        <v>50932.223095167348</v>
      </c>
      <c r="GN33" s="55">
        <f t="shared" si="1"/>
        <v>601.06887477401244</v>
      </c>
      <c r="GO33" s="55">
        <f t="shared" si="2"/>
        <v>3.5218323365664426</v>
      </c>
      <c r="GP33" s="34">
        <f t="shared" si="29"/>
        <v>601.0791923907401</v>
      </c>
      <c r="GQ33" s="55">
        <f t="shared" si="30"/>
        <v>601.02658348253556</v>
      </c>
      <c r="GR33" s="55">
        <f t="shared" si="31"/>
        <v>-3.5712122500818042</v>
      </c>
      <c r="GS33" s="34">
        <f t="shared" si="32"/>
        <v>601.03719319990876</v>
      </c>
      <c r="GT33" s="56">
        <f t="shared" si="33"/>
        <v>642.09888579411665</v>
      </c>
      <c r="GU33" s="56">
        <f t="shared" si="33"/>
        <v>122.31343051069135</v>
      </c>
      <c r="GV33" s="34">
        <f t="shared" si="34"/>
        <v>653.64482283679092</v>
      </c>
      <c r="GW33" s="30">
        <f t="shared" si="35"/>
        <v>553.56174542814267</v>
      </c>
      <c r="GX33" s="30">
        <f t="shared" si="3"/>
        <v>-114.05946034589965</v>
      </c>
      <c r="GY33" s="34">
        <f t="shared" si="36"/>
        <v>565.1903807531138</v>
      </c>
      <c r="GZ33" s="34">
        <f t="shared" si="4"/>
        <v>593.56517296571121</v>
      </c>
      <c r="HA33" s="34">
        <f t="shared" si="4"/>
        <v>8.303350078307048</v>
      </c>
      <c r="HB33" s="34">
        <f t="shared" si="37"/>
        <v>593.6232476751037</v>
      </c>
      <c r="HC33" s="33">
        <f t="shared" si="5"/>
        <v>0.92973477168383556</v>
      </c>
      <c r="HD33" s="33">
        <f t="shared" si="6"/>
        <v>-0.20516596859398334</v>
      </c>
      <c r="HE33" s="33">
        <f t="shared" si="38"/>
        <v>0.9521028412661634</v>
      </c>
      <c r="HF33" s="33">
        <f t="shared" si="39"/>
        <v>0.80589176547464714</v>
      </c>
      <c r="HG33" s="33">
        <f t="shared" si="7"/>
        <v>-0.34596975555041209</v>
      </c>
      <c r="HH33" s="33">
        <f t="shared" si="40"/>
        <v>0.87701574068853272</v>
      </c>
      <c r="HI33" s="30">
        <f t="shared" si="54"/>
        <v>0.80243775769997616</v>
      </c>
      <c r="HJ33" s="30">
        <f t="shared" si="41"/>
        <v>-0.35006974976211974</v>
      </c>
      <c r="HK33" s="33">
        <f t="shared" si="42"/>
        <v>0.87547426271768769</v>
      </c>
      <c r="HL33" s="61">
        <f t="shared" si="43"/>
        <v>0.7989358522299399</v>
      </c>
      <c r="HM33" s="61">
        <f t="shared" si="44"/>
        <v>-0.35412841507809922</v>
      </c>
      <c r="HN33" s="33">
        <f t="shared" si="45"/>
        <v>0.87390241465744156</v>
      </c>
      <c r="HO33" s="30">
        <f t="shared" si="46"/>
        <v>-1.1398522368337254</v>
      </c>
      <c r="HP33" s="30">
        <f t="shared" si="47"/>
        <v>-0.18104647915905558</v>
      </c>
      <c r="HQ33" s="29">
        <v>25</v>
      </c>
      <c r="HR33" s="30">
        <v>157.07963267948966</v>
      </c>
      <c r="HS33" s="30">
        <f t="shared" si="48"/>
        <v>-0.9588057576746698</v>
      </c>
      <c r="HT33" s="30">
        <f t="shared" si="49"/>
        <v>-1.1707412132604365</v>
      </c>
      <c r="HU33" s="30">
        <f t="shared" si="50"/>
        <v>-0.21193545558576665</v>
      </c>
      <c r="HV33" s="30">
        <f t="shared" si="8"/>
        <v>18.759244898615783</v>
      </c>
      <c r="HW33" s="30">
        <f t="shared" si="9"/>
        <v>18.953831608169743</v>
      </c>
      <c r="HX33" s="73">
        <f t="shared" si="51"/>
        <v>-6.3767523248963016</v>
      </c>
      <c r="HY33" s="30">
        <f t="shared" si="52"/>
        <v>18.790133875042493</v>
      </c>
      <c r="HZ33" s="74">
        <f t="shared" si="53"/>
        <v>-0.19458670955395974</v>
      </c>
    </row>
    <row r="34" spans="1:234" ht="15" customHeight="1">
      <c r="AI34" s="65" t="s">
        <v>42</v>
      </c>
      <c r="AJ34" s="136">
        <f t="shared" si="55"/>
        <v>600</v>
      </c>
      <c r="AK34" s="136"/>
      <c r="AL34" s="136"/>
      <c r="AM34" s="136"/>
      <c r="AN34" s="30" t="s">
        <v>43</v>
      </c>
      <c r="AW34" s="137" t="s">
        <v>17</v>
      </c>
      <c r="AX34" s="137"/>
      <c r="AY34" s="105" t="s">
        <v>19</v>
      </c>
      <c r="AZ34" s="105"/>
      <c r="BA34" s="105"/>
      <c r="BB34" s="105"/>
      <c r="BC34" s="105"/>
      <c r="BD34" s="105"/>
      <c r="BE34" s="104" t="s">
        <v>33</v>
      </c>
      <c r="BF34" s="105" t="s">
        <v>36</v>
      </c>
      <c r="BG34" s="105"/>
      <c r="BH34" s="105"/>
      <c r="BI34" s="105"/>
      <c r="BJ34" s="105"/>
      <c r="BK34" s="105"/>
      <c r="BL34" s="105"/>
      <c r="BM34" s="105"/>
      <c r="BN34" s="105"/>
      <c r="BO34" s="105"/>
      <c r="BP34" s="105"/>
      <c r="BQ34" s="105"/>
      <c r="BR34" s="104" t="s">
        <v>33</v>
      </c>
      <c r="BS34" s="105" t="s">
        <v>55</v>
      </c>
      <c r="BT34" s="105"/>
      <c r="BU34" s="105"/>
      <c r="BV34" s="105"/>
      <c r="BW34" s="105"/>
      <c r="BX34" s="105"/>
      <c r="BY34" s="105"/>
      <c r="BZ34" s="105"/>
      <c r="CA34" s="105"/>
      <c r="CB34" s="105"/>
      <c r="CC34" s="105"/>
      <c r="CD34" s="105"/>
      <c r="CE34" s="105"/>
      <c r="CF34" s="105"/>
      <c r="CG34" s="105"/>
      <c r="CH34" s="104" t="s">
        <v>33</v>
      </c>
      <c r="CI34" s="105" t="s">
        <v>296</v>
      </c>
      <c r="CJ34" s="105"/>
      <c r="CK34" s="105"/>
      <c r="CL34" s="105"/>
      <c r="CM34" s="105"/>
      <c r="CN34" s="105"/>
      <c r="CO34" s="105"/>
      <c r="CP34" s="105"/>
      <c r="CQ34" s="105"/>
      <c r="CR34" s="105"/>
      <c r="CS34" s="105"/>
      <c r="CT34" s="119" t="s">
        <v>91</v>
      </c>
      <c r="CU34" s="163" t="s">
        <v>298</v>
      </c>
      <c r="CV34" s="163"/>
      <c r="CW34" s="163"/>
      <c r="CX34" s="163"/>
      <c r="CY34" s="163"/>
      <c r="CZ34" s="163"/>
      <c r="DA34" s="163"/>
      <c r="DB34" s="163"/>
      <c r="DC34" s="104" t="s">
        <v>33</v>
      </c>
      <c r="DD34" s="106">
        <f>AJ31*(2*AJ31*AJ36+AJ36^2+(AJ43*AJ38)^2)</f>
        <v>1519442.6277389294</v>
      </c>
      <c r="DE34" s="106"/>
      <c r="DF34" s="106"/>
      <c r="DG34" s="106"/>
      <c r="DH34" s="119" t="s">
        <v>91</v>
      </c>
      <c r="DI34" s="106">
        <f>2*AJ31^2*AJ43*AJ38</f>
        <v>2035752.0395261857</v>
      </c>
      <c r="DJ34" s="106"/>
      <c r="DK34" s="106"/>
      <c r="DL34" s="106"/>
      <c r="DM34" s="104" t="s">
        <v>33</v>
      </c>
      <c r="DN34" s="151">
        <f>DD34/DD35</f>
        <v>1.0514792564850299</v>
      </c>
      <c r="DO34" s="152"/>
      <c r="DP34" s="152"/>
      <c r="DQ34" s="153"/>
      <c r="DR34" s="115" t="s">
        <v>91</v>
      </c>
      <c r="DS34" s="151">
        <f>DI34/DI35</f>
        <v>1.4087738502467937</v>
      </c>
      <c r="DT34" s="152"/>
      <c r="DU34" s="152"/>
      <c r="DV34" s="153"/>
      <c r="DW34" s="108" t="s">
        <v>33</v>
      </c>
      <c r="DX34" s="108" t="s">
        <v>100</v>
      </c>
      <c r="DY34" s="108"/>
      <c r="DZ34" s="115" t="s">
        <v>96</v>
      </c>
      <c r="EA34" s="108" t="s">
        <v>101</v>
      </c>
      <c r="EB34" s="108"/>
      <c r="FO34" s="65" t="s">
        <v>230</v>
      </c>
      <c r="FP34" s="30">
        <f>SQRT(FP56^2+FR56^2)</f>
        <v>614.63907683631817</v>
      </c>
      <c r="FT34" s="29">
        <v>30</v>
      </c>
      <c r="FU34" s="27">
        <f t="shared" si="11"/>
        <v>188.49555921538757</v>
      </c>
      <c r="FV34" s="30">
        <f t="shared" si="12"/>
        <v>53.210979538478924</v>
      </c>
      <c r="FW34" s="30">
        <f t="shared" si="13"/>
        <v>142.53526040975296</v>
      </c>
      <c r="FX34" s="34">
        <f t="shared" si="14"/>
        <v>152.14371102191674</v>
      </c>
      <c r="FY34" s="30">
        <f t="shared" si="15"/>
        <v>218.89451023076052</v>
      </c>
      <c r="FZ34" s="30">
        <f t="shared" si="16"/>
        <v>-71.267630204876482</v>
      </c>
      <c r="GA34" s="34">
        <f t="shared" si="17"/>
        <v>230.20400023497322</v>
      </c>
      <c r="GB34" s="34">
        <f t="shared" si="18"/>
        <v>1.0779863085072392</v>
      </c>
      <c r="GC34" s="34">
        <f t="shared" si="19"/>
        <v>4.226134510750585</v>
      </c>
      <c r="GD34" s="34">
        <f t="shared" si="20"/>
        <v>4.3614524397597361</v>
      </c>
      <c r="GE34" s="55">
        <f t="shared" si="21"/>
        <v>299.4610068457464</v>
      </c>
      <c r="GF34" s="55">
        <f t="shared" si="22"/>
        <v>-2.1130672553752925</v>
      </c>
      <c r="GG34" s="34">
        <f t="shared" si="23"/>
        <v>299.4684619025748</v>
      </c>
      <c r="GH34" s="30">
        <f t="shared" si="24"/>
        <v>441.88573214389965</v>
      </c>
      <c r="GI34" s="30">
        <f t="shared" si="0"/>
        <v>-1172.8539652736877</v>
      </c>
      <c r="GJ34" s="34">
        <f t="shared" si="25"/>
        <v>1253.3353199086678</v>
      </c>
      <c r="GK34" s="34">
        <f t="shared" si="26"/>
        <v>299.4610068457464</v>
      </c>
      <c r="GL34" s="34">
        <f t="shared" si="27"/>
        <v>-42443.431225094137</v>
      </c>
      <c r="GM34" s="34">
        <f t="shared" si="28"/>
        <v>42444.48764037466</v>
      </c>
      <c r="GN34" s="55">
        <f t="shared" si="1"/>
        <v>601.07798630850721</v>
      </c>
      <c r="GO34" s="55">
        <f t="shared" si="2"/>
        <v>4.226134510750585</v>
      </c>
      <c r="GP34" s="34">
        <f t="shared" si="29"/>
        <v>601.09284294324527</v>
      </c>
      <c r="GQ34" s="55">
        <f t="shared" si="30"/>
        <v>601.01708788443034</v>
      </c>
      <c r="GR34" s="55">
        <f t="shared" si="31"/>
        <v>-4.2853831587081626</v>
      </c>
      <c r="GS34" s="34">
        <f t="shared" si="32"/>
        <v>601.03236554939201</v>
      </c>
      <c r="GT34" s="56">
        <f t="shared" si="33"/>
        <v>655.30605373141645</v>
      </c>
      <c r="GU34" s="56">
        <f t="shared" si="33"/>
        <v>142.47601176179541</v>
      </c>
      <c r="GV34" s="34">
        <f t="shared" si="34"/>
        <v>670.61571558127787</v>
      </c>
      <c r="GW34" s="30">
        <f t="shared" si="35"/>
        <v>542.09214785641268</v>
      </c>
      <c r="GX34" s="30">
        <f t="shared" si="3"/>
        <v>-134.03343953761186</v>
      </c>
      <c r="GY34" s="34">
        <f t="shared" si="36"/>
        <v>558.41638557787815</v>
      </c>
      <c r="GZ34" s="34">
        <f t="shared" si="4"/>
        <v>595.30312739489159</v>
      </c>
      <c r="HA34" s="34">
        <f t="shared" si="4"/>
        <v>8.5018208721411099</v>
      </c>
      <c r="HB34" s="34">
        <f t="shared" si="37"/>
        <v>595.36383367171413</v>
      </c>
      <c r="HC34" s="33">
        <f t="shared" si="5"/>
        <v>0.90721478138471534</v>
      </c>
      <c r="HD34" s="33">
        <f t="shared" si="6"/>
        <v>-0.23810796647718019</v>
      </c>
      <c r="HE34" s="33">
        <f t="shared" si="38"/>
        <v>0.93794139649703856</v>
      </c>
      <c r="HF34" s="33">
        <f t="shared" si="39"/>
        <v>0.75046844419018777</v>
      </c>
      <c r="HG34" s="33">
        <f t="shared" si="7"/>
        <v>-0.38202170489197657</v>
      </c>
      <c r="HH34" s="33">
        <f t="shared" si="40"/>
        <v>0.84210656613864099</v>
      </c>
      <c r="HI34" s="30">
        <f t="shared" si="54"/>
        <v>0.7464438335818957</v>
      </c>
      <c r="HJ34" s="30">
        <f t="shared" si="41"/>
        <v>-0.3866057066465699</v>
      </c>
      <c r="HK34" s="33">
        <f t="shared" si="42"/>
        <v>0.84062022882163057</v>
      </c>
      <c r="HL34" s="61">
        <f t="shared" si="43"/>
        <v>0.7423551264588355</v>
      </c>
      <c r="HM34" s="61">
        <f t="shared" si="44"/>
        <v>-0.3911318031308425</v>
      </c>
      <c r="HN34" s="33">
        <f t="shared" si="45"/>
        <v>0.83909190271393863</v>
      </c>
      <c r="HO34" s="30">
        <f t="shared" si="46"/>
        <v>-1.4926589263614631</v>
      </c>
      <c r="HP34" s="30">
        <f t="shared" si="47"/>
        <v>-0.17207891845965184</v>
      </c>
      <c r="HQ34" s="29">
        <v>30</v>
      </c>
      <c r="HR34" s="30">
        <v>188.49555921538757</v>
      </c>
      <c r="HS34" s="30">
        <f t="shared" si="48"/>
        <v>-1.3205800079018113</v>
      </c>
      <c r="HT34" s="30">
        <f t="shared" si="49"/>
        <v>-1.5238093971160829</v>
      </c>
      <c r="HU34" s="30">
        <f t="shared" si="50"/>
        <v>-0.20322938921427158</v>
      </c>
      <c r="HV34" s="30">
        <f t="shared" si="8"/>
        <v>18.406176714760136</v>
      </c>
      <c r="HW34" s="30">
        <f t="shared" si="9"/>
        <v>18.592057357942604</v>
      </c>
      <c r="HX34" s="73">
        <f t="shared" si="51"/>
        <v>-4.6361663282858672</v>
      </c>
      <c r="HY34" s="30">
        <f t="shared" si="52"/>
        <v>18.437327185514754</v>
      </c>
      <c r="HZ34" s="74">
        <f t="shared" si="53"/>
        <v>-0.18588064318246822</v>
      </c>
    </row>
    <row r="35" spans="1:234" ht="15" customHeight="1" thickBot="1">
      <c r="A35" s="10"/>
      <c r="B35" s="162"/>
      <c r="C35" s="162"/>
      <c r="D35" s="11"/>
      <c r="F35" s="11"/>
      <c r="G35" s="64"/>
      <c r="H35" s="11"/>
      <c r="J35" s="72"/>
      <c r="L35" s="12"/>
      <c r="M35" s="72"/>
      <c r="N35" s="72"/>
      <c r="O35" s="72"/>
      <c r="P35" s="63"/>
      <c r="AE35" s="63"/>
      <c r="AI35" s="65" t="s">
        <v>53</v>
      </c>
      <c r="AJ35" s="136">
        <f t="shared" si="55"/>
        <v>13.8</v>
      </c>
      <c r="AK35" s="136"/>
      <c r="AL35" s="136"/>
      <c r="AM35" s="136"/>
      <c r="AN35" s="30" t="s">
        <v>43</v>
      </c>
      <c r="AW35" s="137"/>
      <c r="AX35" s="137"/>
      <c r="AY35" s="104" t="s">
        <v>21</v>
      </c>
      <c r="AZ35" s="104"/>
      <c r="BA35" s="104"/>
      <c r="BB35" s="104"/>
      <c r="BC35" s="104"/>
      <c r="BD35" s="104"/>
      <c r="BE35" s="104"/>
      <c r="BF35" s="104" t="s">
        <v>37</v>
      </c>
      <c r="BG35" s="104"/>
      <c r="BH35" s="104"/>
      <c r="BI35" s="104"/>
      <c r="BJ35" s="104"/>
      <c r="BK35" s="104"/>
      <c r="BL35" s="104"/>
      <c r="BM35" s="104"/>
      <c r="BN35" s="104"/>
      <c r="BO35" s="104"/>
      <c r="BP35" s="104"/>
      <c r="BQ35" s="104"/>
      <c r="BR35" s="104"/>
      <c r="BS35" s="111" t="s">
        <v>37</v>
      </c>
      <c r="BT35" s="111"/>
      <c r="BU35" s="111"/>
      <c r="BV35" s="111"/>
      <c r="BW35" s="111"/>
      <c r="BX35" s="111"/>
      <c r="BY35" s="111"/>
      <c r="BZ35" s="111"/>
      <c r="CA35" s="111"/>
      <c r="CB35" s="111"/>
      <c r="CC35" s="111"/>
      <c r="CD35" s="111"/>
      <c r="CE35" s="111"/>
      <c r="CF35" s="111"/>
      <c r="CG35" s="111"/>
      <c r="CH35" s="104"/>
      <c r="CI35" s="111" t="s">
        <v>37</v>
      </c>
      <c r="CJ35" s="111"/>
      <c r="CK35" s="111"/>
      <c r="CL35" s="111"/>
      <c r="CM35" s="111"/>
      <c r="CN35" s="111"/>
      <c r="CO35" s="111"/>
      <c r="CP35" s="111"/>
      <c r="CQ35" s="111"/>
      <c r="CR35" s="111"/>
      <c r="CS35" s="111"/>
      <c r="CT35" s="110"/>
      <c r="CU35" s="111" t="s">
        <v>37</v>
      </c>
      <c r="CV35" s="111"/>
      <c r="CW35" s="111"/>
      <c r="CX35" s="111"/>
      <c r="CY35" s="111"/>
      <c r="CZ35" s="111"/>
      <c r="DA35" s="111"/>
      <c r="DB35" s="111"/>
      <c r="DC35" s="104"/>
      <c r="DD35" s="112">
        <f>((2*AJ31+AJ36)^2+(AJ43*AJ38)^2)</f>
        <v>1445052.4043795646</v>
      </c>
      <c r="DE35" s="112"/>
      <c r="DF35" s="112"/>
      <c r="DG35" s="112"/>
      <c r="DH35" s="110"/>
      <c r="DI35" s="112">
        <f>DD35</f>
        <v>1445052.4043795646</v>
      </c>
      <c r="DJ35" s="112"/>
      <c r="DK35" s="112"/>
      <c r="DL35" s="112"/>
      <c r="DM35" s="104"/>
      <c r="DN35" s="159"/>
      <c r="DO35" s="155"/>
      <c r="DP35" s="155"/>
      <c r="DQ35" s="156"/>
      <c r="DR35" s="116"/>
      <c r="DS35" s="159"/>
      <c r="DT35" s="155"/>
      <c r="DU35" s="155"/>
      <c r="DV35" s="156"/>
      <c r="DW35" s="108"/>
      <c r="DX35" s="108"/>
      <c r="DY35" s="108"/>
      <c r="DZ35" s="116"/>
      <c r="EA35" s="108"/>
      <c r="EB35" s="108"/>
      <c r="FO35" s="65" t="s">
        <v>231</v>
      </c>
      <c r="FP35" s="30">
        <f>SQRT(FP57^2+FR57^2)</f>
        <v>601.04641005452265</v>
      </c>
      <c r="FT35" s="29">
        <v>40</v>
      </c>
      <c r="FU35" s="27">
        <f t="shared" si="11"/>
        <v>251.32741228718345</v>
      </c>
      <c r="FV35" s="30">
        <f t="shared" si="12"/>
        <v>83.5816916690261</v>
      </c>
      <c r="FW35" s="30">
        <f t="shared" si="13"/>
        <v>176.86289349281211</v>
      </c>
      <c r="FX35" s="34">
        <f t="shared" si="14"/>
        <v>195.61794978198176</v>
      </c>
      <c r="FY35" s="30">
        <f t="shared" si="15"/>
        <v>203.70915416548698</v>
      </c>
      <c r="FZ35" s="30">
        <f t="shared" si="16"/>
        <v>-88.431446746406053</v>
      </c>
      <c r="GA35" s="34">
        <f t="shared" si="17"/>
        <v>222.07552828819431</v>
      </c>
      <c r="GB35" s="34">
        <f t="shared" si="18"/>
        <v>1.1011780544914138</v>
      </c>
      <c r="GC35" s="34">
        <f t="shared" si="19"/>
        <v>5.6346278191193155</v>
      </c>
      <c r="GD35" s="34">
        <f t="shared" si="20"/>
        <v>5.7412214525906231</v>
      </c>
      <c r="GE35" s="55">
        <f t="shared" si="21"/>
        <v>299.44941097275432</v>
      </c>
      <c r="GF35" s="55">
        <f t="shared" si="22"/>
        <v>-2.8173139095596578</v>
      </c>
      <c r="GG35" s="34">
        <f t="shared" si="23"/>
        <v>299.46266376560953</v>
      </c>
      <c r="GH35" s="30">
        <f t="shared" si="24"/>
        <v>382.29333925099337</v>
      </c>
      <c r="GI35" s="30">
        <f t="shared" si="0"/>
        <v>-917.70479290804099</v>
      </c>
      <c r="GJ35" s="34">
        <f t="shared" si="25"/>
        <v>994.14801924163464</v>
      </c>
      <c r="GK35" s="34">
        <f t="shared" si="26"/>
        <v>299.44941097275432</v>
      </c>
      <c r="GL35" s="34">
        <f t="shared" si="27"/>
        <v>-31833.805932288633</v>
      </c>
      <c r="GM35" s="34">
        <f t="shared" si="28"/>
        <v>31835.214308754807</v>
      </c>
      <c r="GN35" s="55">
        <f t="shared" si="1"/>
        <v>601.10117805449147</v>
      </c>
      <c r="GO35" s="55">
        <f t="shared" si="2"/>
        <v>5.6346278191193155</v>
      </c>
      <c r="GP35" s="34">
        <f t="shared" si="29"/>
        <v>601.12758653147625</v>
      </c>
      <c r="GQ35" s="55">
        <f t="shared" si="30"/>
        <v>600.99291887564527</v>
      </c>
      <c r="GR35" s="55">
        <f t="shared" si="31"/>
        <v>-5.7136014242566242</v>
      </c>
      <c r="GS35" s="34">
        <f t="shared" si="32"/>
        <v>601.02007768451733</v>
      </c>
      <c r="GT35" s="56">
        <f t="shared" si="33"/>
        <v>685.67578859916284</v>
      </c>
      <c r="GU35" s="56">
        <f t="shared" si="33"/>
        <v>176.78391988767478</v>
      </c>
      <c r="GV35" s="34">
        <f t="shared" si="34"/>
        <v>708.09875116535522</v>
      </c>
      <c r="GW35" s="30">
        <f t="shared" si="35"/>
        <v>514.55831869131998</v>
      </c>
      <c r="GX35" s="30">
        <f t="shared" si="3"/>
        <v>-168.93526143141696</v>
      </c>
      <c r="GY35" s="34">
        <f t="shared" si="36"/>
        <v>541.58045190842995</v>
      </c>
      <c r="GZ35" s="34">
        <f t="shared" si="4"/>
        <v>598.14001036034608</v>
      </c>
      <c r="HA35" s="34">
        <f t="shared" si="4"/>
        <v>7.9276320613951441</v>
      </c>
      <c r="HB35" s="34">
        <f t="shared" si="37"/>
        <v>598.19254370476381</v>
      </c>
      <c r="HC35" s="33">
        <f t="shared" si="5"/>
        <v>0.85637023871830997</v>
      </c>
      <c r="HD35" s="33">
        <f t="shared" si="6"/>
        <v>-0.29378447612364328</v>
      </c>
      <c r="HE35" s="33">
        <f t="shared" si="38"/>
        <v>0.90536142184969348</v>
      </c>
      <c r="HF35" s="33">
        <f t="shared" si="39"/>
        <v>0.64268872160481016</v>
      </c>
      <c r="HG35" s="33">
        <f t="shared" si="7"/>
        <v>-0.42377252601462773</v>
      </c>
      <c r="HH35" s="33">
        <f t="shared" si="40"/>
        <v>0.76982591972655978</v>
      </c>
      <c r="HI35" s="30">
        <f t="shared" si="54"/>
        <v>0.63754816074944631</v>
      </c>
      <c r="HJ35" s="30">
        <f t="shared" si="41"/>
        <v>-0.42901268486812705</v>
      </c>
      <c r="HK35" s="33">
        <f t="shared" si="42"/>
        <v>0.76845269278776085</v>
      </c>
      <c r="HL35" s="61">
        <f t="shared" si="43"/>
        <v>0.63231052350644656</v>
      </c>
      <c r="HM35" s="61">
        <f t="shared" si="44"/>
        <v>-0.43415394099142801</v>
      </c>
      <c r="HN35" s="33">
        <f t="shared" si="45"/>
        <v>0.76701124021449962</v>
      </c>
      <c r="HO35" s="30">
        <f t="shared" si="46"/>
        <v>-2.2721494095230397</v>
      </c>
      <c r="HP35" s="30">
        <f t="shared" si="47"/>
        <v>-0.14997797084927766</v>
      </c>
      <c r="HQ35" s="29">
        <v>40</v>
      </c>
      <c r="HR35" s="30">
        <v>251.32741228718345</v>
      </c>
      <c r="HS35" s="30">
        <f t="shared" si="48"/>
        <v>-2.122171438673762</v>
      </c>
      <c r="HT35" s="30">
        <f t="shared" si="49"/>
        <v>-2.3039654321712586</v>
      </c>
      <c r="HU35" s="30">
        <f t="shared" si="50"/>
        <v>-0.18179399349749659</v>
      </c>
      <c r="HV35" s="30">
        <f t="shared" si="8"/>
        <v>17.626020679704958</v>
      </c>
      <c r="HW35" s="30">
        <f t="shared" si="9"/>
        <v>17.790465927170651</v>
      </c>
      <c r="HX35" s="73">
        <f t="shared" si="51"/>
        <v>-1.807456295236193</v>
      </c>
      <c r="HY35" s="30">
        <f t="shared" si="52"/>
        <v>17.65783670235318</v>
      </c>
      <c r="HZ35" s="74">
        <f t="shared" si="53"/>
        <v>-0.164445247465693</v>
      </c>
    </row>
    <row r="36" spans="1:234" ht="15" customHeight="1">
      <c r="A36" s="12"/>
      <c r="B36" s="12"/>
      <c r="AI36" s="65" t="s">
        <v>54</v>
      </c>
      <c r="AJ36" s="136">
        <f t="shared" si="55"/>
        <v>2.1</v>
      </c>
      <c r="AK36" s="136"/>
      <c r="AL36" s="136"/>
      <c r="AM36" s="136"/>
      <c r="AN36" s="30" t="s">
        <v>43</v>
      </c>
      <c r="AW36" s="137" t="s">
        <v>18</v>
      </c>
      <c r="AX36" s="137"/>
      <c r="AY36" s="105" t="s">
        <v>22</v>
      </c>
      <c r="AZ36" s="105"/>
      <c r="BA36" s="105"/>
      <c r="BB36" s="105"/>
      <c r="BC36" s="105"/>
      <c r="BD36" s="105"/>
      <c r="BE36" s="104" t="s">
        <v>33</v>
      </c>
      <c r="BF36" s="105" t="s">
        <v>87</v>
      </c>
      <c r="BG36" s="105"/>
      <c r="BH36" s="105"/>
      <c r="BI36" s="105"/>
      <c r="BJ36" s="105"/>
      <c r="BK36" s="105"/>
      <c r="BL36" s="105"/>
      <c r="BM36" s="105"/>
      <c r="BN36" s="104" t="s">
        <v>33</v>
      </c>
      <c r="BO36" s="105" t="s">
        <v>301</v>
      </c>
      <c r="BP36" s="105"/>
      <c r="BQ36" s="105"/>
      <c r="BR36" s="105"/>
      <c r="BS36" s="105"/>
      <c r="BT36" s="105"/>
      <c r="BU36" s="105"/>
      <c r="BV36" s="105"/>
      <c r="BW36" s="107" t="s">
        <v>91</v>
      </c>
      <c r="BX36" s="163" t="s">
        <v>302</v>
      </c>
      <c r="BY36" s="163"/>
      <c r="BZ36" s="163"/>
      <c r="CA36" s="163"/>
      <c r="CB36" s="163"/>
      <c r="CC36" s="163"/>
      <c r="CD36" s="163"/>
      <c r="CE36" s="163"/>
      <c r="CF36" s="104" t="s">
        <v>33</v>
      </c>
      <c r="CG36" s="106">
        <f>AJ31^2*(2*AJ31+AJ36)</f>
        <v>432755999.99999994</v>
      </c>
      <c r="CH36" s="106"/>
      <c r="CI36" s="106"/>
      <c r="CJ36" s="106"/>
      <c r="CK36" s="107" t="s">
        <v>91</v>
      </c>
      <c r="CL36" s="106">
        <f>-(AJ31^2*AJ43*AJ38)</f>
        <v>-1017876.0197630929</v>
      </c>
      <c r="CM36" s="106"/>
      <c r="CN36" s="106"/>
      <c r="CO36" s="106"/>
      <c r="CP36" s="104" t="s">
        <v>33</v>
      </c>
      <c r="CQ36" s="151">
        <f>CG36/CG37</f>
        <v>299.47426037175751</v>
      </c>
      <c r="CR36" s="152"/>
      <c r="CS36" s="152"/>
      <c r="CT36" s="153"/>
      <c r="CU36" s="115" t="s">
        <v>91</v>
      </c>
      <c r="CV36" s="151">
        <f>CL36/CL37</f>
        <v>-0.70438692512339685</v>
      </c>
      <c r="CW36" s="152"/>
      <c r="CX36" s="152"/>
      <c r="CY36" s="153"/>
      <c r="CZ36" s="108" t="s">
        <v>33</v>
      </c>
      <c r="DA36" s="108" t="s">
        <v>102</v>
      </c>
      <c r="DB36" s="108"/>
      <c r="DC36" s="115" t="s">
        <v>96</v>
      </c>
      <c r="DD36" s="108" t="s">
        <v>103</v>
      </c>
      <c r="DE36" s="108"/>
      <c r="FO36" s="65" t="s">
        <v>232</v>
      </c>
      <c r="FP36" s="30">
        <f t="shared" si="10"/>
        <v>576.19544057556561</v>
      </c>
      <c r="FT36" s="29">
        <v>50</v>
      </c>
      <c r="FU36" s="27">
        <f t="shared" si="11"/>
        <v>314.15926535897933</v>
      </c>
      <c r="FV36" s="30">
        <f t="shared" si="12"/>
        <v>116.94506591616975</v>
      </c>
      <c r="FW36" s="30">
        <f t="shared" si="13"/>
        <v>202.9745491751008</v>
      </c>
      <c r="FX36" s="34">
        <f t="shared" si="14"/>
        <v>234.25374288359345</v>
      </c>
      <c r="FY36" s="30">
        <f t="shared" si="15"/>
        <v>187.02746704191512</v>
      </c>
      <c r="FZ36" s="30">
        <f t="shared" si="16"/>
        <v>-101.4872745875504</v>
      </c>
      <c r="GA36" s="34">
        <f t="shared" si="17"/>
        <v>212.78848730916695</v>
      </c>
      <c r="GB36" s="34">
        <f t="shared" si="18"/>
        <v>1.1309933746016758</v>
      </c>
      <c r="GC36" s="34">
        <f t="shared" si="19"/>
        <v>7.0429341340540388</v>
      </c>
      <c r="GD36" s="34">
        <f t="shared" si="20"/>
        <v>7.1331667042076345</v>
      </c>
      <c r="GE36" s="55">
        <f t="shared" si="21"/>
        <v>299.43450331269918</v>
      </c>
      <c r="GF36" s="55">
        <f t="shared" si="22"/>
        <v>-3.5214670670270194</v>
      </c>
      <c r="GG36" s="34">
        <f t="shared" si="23"/>
        <v>299.45520951292036</v>
      </c>
      <c r="GH36" s="30">
        <f t="shared" si="24"/>
        <v>344.94512168838173</v>
      </c>
      <c r="GI36" s="30">
        <f t="shared" si="0"/>
        <v>-766.05400752940011</v>
      </c>
      <c r="GJ36" s="34">
        <f t="shared" si="25"/>
        <v>840.1344412821478</v>
      </c>
      <c r="GK36" s="34">
        <f t="shared" si="26"/>
        <v>299.43450331269918</v>
      </c>
      <c r="GL36" s="34">
        <f t="shared" si="27"/>
        <v>-25468.312361770284</v>
      </c>
      <c r="GM36" s="34">
        <f t="shared" si="28"/>
        <v>25470.072547569926</v>
      </c>
      <c r="GN36" s="55">
        <f t="shared" si="1"/>
        <v>601.13099337460164</v>
      </c>
      <c r="GO36" s="55">
        <f t="shared" si="2"/>
        <v>7.0429341340540388</v>
      </c>
      <c r="GP36" s="34">
        <f t="shared" si="29"/>
        <v>601.17224995566119</v>
      </c>
      <c r="GQ36" s="55">
        <f t="shared" si="30"/>
        <v>600.96184782054115</v>
      </c>
      <c r="GR36" s="55">
        <f t="shared" si="31"/>
        <v>-7.1416116385305157</v>
      </c>
      <c r="GS36" s="34">
        <f t="shared" si="32"/>
        <v>601.00428047783055</v>
      </c>
      <c r="GT36" s="56">
        <f t="shared" si="33"/>
        <v>719.03790711131262</v>
      </c>
      <c r="GU36" s="56">
        <f t="shared" si="33"/>
        <v>202.87587167062432</v>
      </c>
      <c r="GV36" s="34">
        <f t="shared" si="34"/>
        <v>747.11052138832326</v>
      </c>
      <c r="GW36" s="30">
        <f t="shared" si="35"/>
        <v>483.05324143486297</v>
      </c>
      <c r="GX36" s="30">
        <f t="shared" si="3"/>
        <v>-196.23978802635222</v>
      </c>
      <c r="GY36" s="34">
        <f t="shared" si="36"/>
        <v>521.3928350728994</v>
      </c>
      <c r="GZ36" s="34">
        <f t="shared" si="4"/>
        <v>599.99830735103274</v>
      </c>
      <c r="HA36" s="34">
        <f t="shared" si="4"/>
        <v>6.7347611487485892</v>
      </c>
      <c r="HB36" s="34">
        <f t="shared" si="37"/>
        <v>600.03610377362713</v>
      </c>
      <c r="HC36" s="33">
        <f t="shared" si="5"/>
        <v>0.80131883698869832</v>
      </c>
      <c r="HD36" s="33">
        <f t="shared" si="6"/>
        <v>-0.33606174638672009</v>
      </c>
      <c r="HE36" s="33">
        <f t="shared" si="38"/>
        <v>0.8689357720208164</v>
      </c>
      <c r="HF36" s="33">
        <f t="shared" si="39"/>
        <v>0.54789919364349848</v>
      </c>
      <c r="HG36" s="33">
        <f t="shared" si="7"/>
        <v>-0.43610353117533063</v>
      </c>
      <c r="HH36" s="33">
        <f t="shared" si="40"/>
        <v>0.70027124480360359</v>
      </c>
      <c r="HI36" s="30">
        <f t="shared" si="54"/>
        <v>0.54176962879402302</v>
      </c>
      <c r="HJ36" s="30">
        <f t="shared" si="41"/>
        <v>-0.44169435097649928</v>
      </c>
      <c r="HK36" s="33">
        <f t="shared" si="42"/>
        <v>0.69900517191803702</v>
      </c>
      <c r="HL36" s="61">
        <f t="shared" si="43"/>
        <v>0.53551159592238484</v>
      </c>
      <c r="HM36" s="61">
        <f t="shared" si="44"/>
        <v>-0.44713745663834809</v>
      </c>
      <c r="HN36" s="33">
        <f t="shared" si="45"/>
        <v>0.6976421536119719</v>
      </c>
      <c r="HO36" s="30">
        <f t="shared" si="46"/>
        <v>-3.0946741338860666</v>
      </c>
      <c r="HP36" s="30">
        <f t="shared" si="47"/>
        <v>-0.12530974586497434</v>
      </c>
      <c r="HQ36" s="29">
        <v>50</v>
      </c>
      <c r="HR36" s="30">
        <v>314.15926535897933</v>
      </c>
      <c r="HS36" s="30">
        <f t="shared" si="48"/>
        <v>-2.9693643880210923</v>
      </c>
      <c r="HT36" s="30">
        <f t="shared" si="49"/>
        <v>-3.1273457183911937</v>
      </c>
      <c r="HU36" s="30">
        <f t="shared" si="50"/>
        <v>-0.15798133037010142</v>
      </c>
      <c r="HV36" s="30">
        <f t="shared" si="8"/>
        <v>16.802640393485024</v>
      </c>
      <c r="HW36" s="30">
        <f t="shared" si="9"/>
        <v>16.943272977823323</v>
      </c>
      <c r="HX36" s="73">
        <f t="shared" si="51"/>
        <v>3.6103773627132796E-2</v>
      </c>
      <c r="HY36" s="30">
        <f t="shared" si="52"/>
        <v>16.835311977990152</v>
      </c>
      <c r="HZ36" s="74">
        <f t="shared" si="53"/>
        <v>-0.14063258433829873</v>
      </c>
    </row>
    <row r="37" spans="1:234" ht="15" customHeight="1" thickBot="1">
      <c r="AI37" s="65" t="s">
        <v>44</v>
      </c>
      <c r="AJ37" s="136">
        <f t="shared" si="55"/>
        <v>1.72</v>
      </c>
      <c r="AK37" s="136"/>
      <c r="AL37" s="136"/>
      <c r="AM37" s="136"/>
      <c r="AN37" s="30" t="s">
        <v>46</v>
      </c>
      <c r="AW37" s="137"/>
      <c r="AX37" s="137"/>
      <c r="AY37" s="104" t="s">
        <v>21</v>
      </c>
      <c r="AZ37" s="104"/>
      <c r="BA37" s="104"/>
      <c r="BB37" s="104"/>
      <c r="BC37" s="104"/>
      <c r="BD37" s="104"/>
      <c r="BE37" s="104"/>
      <c r="BF37" s="111" t="s">
        <v>37</v>
      </c>
      <c r="BG37" s="111"/>
      <c r="BH37" s="111"/>
      <c r="BI37" s="111"/>
      <c r="BJ37" s="111"/>
      <c r="BK37" s="111"/>
      <c r="BL37" s="111"/>
      <c r="BM37" s="111"/>
      <c r="BN37" s="104"/>
      <c r="BO37" s="111" t="s">
        <v>37</v>
      </c>
      <c r="BP37" s="111"/>
      <c r="BQ37" s="111"/>
      <c r="BR37" s="111"/>
      <c r="BS37" s="111"/>
      <c r="BT37" s="111"/>
      <c r="BU37" s="111"/>
      <c r="BV37" s="111"/>
      <c r="BW37" s="104"/>
      <c r="BX37" s="111" t="s">
        <v>37</v>
      </c>
      <c r="BY37" s="111"/>
      <c r="BZ37" s="111"/>
      <c r="CA37" s="111"/>
      <c r="CB37" s="111"/>
      <c r="CC37" s="111"/>
      <c r="CD37" s="111"/>
      <c r="CE37" s="111"/>
      <c r="CF37" s="104"/>
      <c r="CG37" s="108">
        <f>DD35</f>
        <v>1445052.4043795646</v>
      </c>
      <c r="CH37" s="108"/>
      <c r="CI37" s="108"/>
      <c r="CJ37" s="108"/>
      <c r="CK37" s="104"/>
      <c r="CL37" s="108">
        <f>CG37</f>
        <v>1445052.4043795646</v>
      </c>
      <c r="CM37" s="108"/>
      <c r="CN37" s="108"/>
      <c r="CO37" s="108"/>
      <c r="CP37" s="104"/>
      <c r="CQ37" s="154"/>
      <c r="CR37" s="116"/>
      <c r="CS37" s="116"/>
      <c r="CT37" s="156"/>
      <c r="CU37" s="116"/>
      <c r="CV37" s="159"/>
      <c r="CW37" s="155"/>
      <c r="CX37" s="155"/>
      <c r="CY37" s="156"/>
      <c r="CZ37" s="108"/>
      <c r="DA37" s="108"/>
      <c r="DB37" s="108"/>
      <c r="DC37" s="116"/>
      <c r="DD37" s="108"/>
      <c r="DE37" s="108"/>
      <c r="FO37" s="65" t="s">
        <v>218</v>
      </c>
      <c r="FP37" s="30">
        <f>SQRT(FP43^2+FR43^2)</f>
        <v>0.9819812268487238</v>
      </c>
      <c r="FT37" s="29">
        <v>60</v>
      </c>
      <c r="FU37" s="27">
        <f t="shared" si="11"/>
        <v>376.99111843077515</v>
      </c>
      <c r="FV37" s="30">
        <f t="shared" si="12"/>
        <v>150.97709011315581</v>
      </c>
      <c r="FW37" s="30">
        <f t="shared" si="13"/>
        <v>221.40917995115913</v>
      </c>
      <c r="FX37" s="34">
        <f t="shared" si="14"/>
        <v>267.9852733000094</v>
      </c>
      <c r="FY37" s="30">
        <f t="shared" si="15"/>
        <v>170.01145494342208</v>
      </c>
      <c r="FZ37" s="30">
        <f t="shared" si="16"/>
        <v>-110.70458997557957</v>
      </c>
      <c r="GA37" s="34">
        <f t="shared" si="17"/>
        <v>202.87779832608697</v>
      </c>
      <c r="GB37" s="34">
        <f t="shared" si="18"/>
        <v>1.1674302901809577</v>
      </c>
      <c r="GC37" s="34">
        <f t="shared" si="19"/>
        <v>8.4510067459825251</v>
      </c>
      <c r="GD37" s="34">
        <f t="shared" si="20"/>
        <v>8.5312606631771697</v>
      </c>
      <c r="GE37" s="55">
        <f t="shared" si="21"/>
        <v>299.41628485490958</v>
      </c>
      <c r="GF37" s="55">
        <f t="shared" si="22"/>
        <v>-4.2255033729912626</v>
      </c>
      <c r="GG37" s="34">
        <f t="shared" si="23"/>
        <v>299.44609951554139</v>
      </c>
      <c r="GH37" s="30">
        <f t="shared" si="24"/>
        <v>316.67283765789625</v>
      </c>
      <c r="GI37" s="30">
        <f t="shared" si="0"/>
        <v>-665.03128607713961</v>
      </c>
      <c r="GJ37" s="34">
        <f t="shared" si="25"/>
        <v>736.57877893116006</v>
      </c>
      <c r="GK37" s="34">
        <f t="shared" si="26"/>
        <v>299.41628485490958</v>
      </c>
      <c r="GL37" s="34">
        <f t="shared" si="27"/>
        <v>-21224.884582292372</v>
      </c>
      <c r="GM37" s="34">
        <f t="shared" si="28"/>
        <v>21226.996387696228</v>
      </c>
      <c r="GN37" s="55">
        <f t="shared" si="1"/>
        <v>601.16743029018096</v>
      </c>
      <c r="GO37" s="55">
        <f t="shared" si="2"/>
        <v>8.4510067459825251</v>
      </c>
      <c r="GP37" s="34">
        <f t="shared" si="29"/>
        <v>601.22682804139754</v>
      </c>
      <c r="GQ37" s="55">
        <f t="shared" si="30"/>
        <v>600.92387725612764</v>
      </c>
      <c r="GR37" s="55">
        <f t="shared" si="31"/>
        <v>-8.5693618538864804</v>
      </c>
      <c r="GS37" s="34">
        <f t="shared" si="32"/>
        <v>600.98497503608223</v>
      </c>
      <c r="GT37" s="56">
        <f t="shared" si="33"/>
        <v>753.06839765946438</v>
      </c>
      <c r="GU37" s="56">
        <f t="shared" si="33"/>
        <v>221.29082484325519</v>
      </c>
      <c r="GV37" s="34">
        <f t="shared" si="34"/>
        <v>784.90868304102833</v>
      </c>
      <c r="GW37" s="30">
        <f t="shared" si="35"/>
        <v>450.08122272535945</v>
      </c>
      <c r="GX37" s="30">
        <f t="shared" si="3"/>
        <v>-215.9569011241831</v>
      </c>
      <c r="GY37" s="34">
        <f t="shared" si="36"/>
        <v>499.2098658811891</v>
      </c>
      <c r="GZ37" s="34">
        <f t="shared" si="4"/>
        <v>601.05831283851523</v>
      </c>
      <c r="HA37" s="34">
        <f t="shared" si="4"/>
        <v>5.4522788269760269</v>
      </c>
      <c r="HB37" s="34">
        <f t="shared" si="37"/>
        <v>601.083041498169</v>
      </c>
      <c r="HC37" s="33">
        <f t="shared" si="5"/>
        <v>0.74549402091602335</v>
      </c>
      <c r="HD37" s="33">
        <f t="shared" si="6"/>
        <v>-0.36605689945623188</v>
      </c>
      <c r="HE37" s="33">
        <f t="shared" si="38"/>
        <v>0.83051730196369189</v>
      </c>
      <c r="HF37" s="33">
        <f t="shared" si="39"/>
        <v>0.46940903986454507</v>
      </c>
      <c r="HG37" s="33">
        <f t="shared" si="7"/>
        <v>-0.43072292620944597</v>
      </c>
      <c r="HH37" s="33">
        <f t="shared" si="40"/>
        <v>0.6370769858258748</v>
      </c>
      <c r="HI37" s="30">
        <f t="shared" si="54"/>
        <v>0.46245434127519902</v>
      </c>
      <c r="HJ37" s="30">
        <f t="shared" si="41"/>
        <v>-0.43647780599671743</v>
      </c>
      <c r="HK37" s="33">
        <f t="shared" si="42"/>
        <v>0.63590635544236096</v>
      </c>
      <c r="HL37" s="61">
        <f t="shared" si="43"/>
        <v>0.45534235884634994</v>
      </c>
      <c r="HM37" s="61">
        <f t="shared" si="44"/>
        <v>-0.44203124047505954</v>
      </c>
      <c r="HN37" s="33">
        <f t="shared" si="45"/>
        <v>0.63460876240064479</v>
      </c>
      <c r="HO37" s="30">
        <f t="shared" si="46"/>
        <v>-3.916161667292072</v>
      </c>
      <c r="HP37" s="30">
        <f t="shared" si="47"/>
        <v>-0.10104066060333583</v>
      </c>
      <c r="HQ37" s="29">
        <v>60</v>
      </c>
      <c r="HR37" s="30">
        <v>376.99111843077515</v>
      </c>
      <c r="HS37" s="30">
        <f t="shared" si="48"/>
        <v>-3.8151210066887362</v>
      </c>
      <c r="HT37" s="30">
        <f t="shared" si="49"/>
        <v>-3.9498787129133275</v>
      </c>
      <c r="HU37" s="30">
        <f t="shared" si="50"/>
        <v>-0.13475770622459127</v>
      </c>
      <c r="HV37" s="30">
        <f t="shared" si="8"/>
        <v>15.98010739896289</v>
      </c>
      <c r="HW37" s="30">
        <f t="shared" si="9"/>
        <v>16.097516359155676</v>
      </c>
      <c r="HX37" s="73">
        <f t="shared" si="51"/>
        <v>1.0830414981689955</v>
      </c>
      <c r="HY37" s="30">
        <f t="shared" si="52"/>
        <v>16.013824444584145</v>
      </c>
      <c r="HZ37" s="74">
        <f t="shared" si="53"/>
        <v>-0.11740896019278679</v>
      </c>
    </row>
    <row r="38" spans="1:234" ht="15" customHeight="1">
      <c r="M38" s="72"/>
      <c r="N38" s="72"/>
      <c r="O38" s="72"/>
      <c r="P38" s="63"/>
      <c r="AE38" s="63"/>
      <c r="AI38" s="65" t="s">
        <v>45</v>
      </c>
      <c r="AJ38" s="136">
        <f t="shared" si="55"/>
        <v>4.4999999999999998E-2</v>
      </c>
      <c r="AK38" s="136"/>
      <c r="AL38" s="136"/>
      <c r="AM38" s="136"/>
      <c r="AN38" s="30" t="s">
        <v>46</v>
      </c>
      <c r="AW38" s="104" t="s">
        <v>25</v>
      </c>
      <c r="AX38" s="104"/>
      <c r="AY38" s="164" t="s">
        <v>71</v>
      </c>
      <c r="AZ38" s="164"/>
      <c r="BA38" s="160" t="s">
        <v>26</v>
      </c>
      <c r="BB38" s="160"/>
      <c r="BC38" s="141" t="s">
        <v>28</v>
      </c>
      <c r="BD38" s="141"/>
      <c r="BE38" s="141"/>
      <c r="BF38" s="141"/>
      <c r="BG38" s="141"/>
      <c r="BH38" s="141"/>
      <c r="BI38" s="104" t="s">
        <v>33</v>
      </c>
      <c r="BJ38" s="116" t="s">
        <v>71</v>
      </c>
      <c r="BK38" s="109" t="s">
        <v>30</v>
      </c>
      <c r="BL38" s="108" t="s">
        <v>8</v>
      </c>
      <c r="BM38" s="109" t="s">
        <v>30</v>
      </c>
      <c r="BN38" s="106" t="s">
        <v>9</v>
      </c>
      <c r="BO38" s="106"/>
      <c r="BP38" s="106"/>
      <c r="BQ38" s="106"/>
      <c r="BR38" s="104" t="s">
        <v>33</v>
      </c>
      <c r="BS38" s="164" t="s">
        <v>71</v>
      </c>
      <c r="BT38" s="160" t="s">
        <v>30</v>
      </c>
      <c r="BU38" s="142" t="s">
        <v>8</v>
      </c>
      <c r="BV38" s="160" t="s">
        <v>30</v>
      </c>
      <c r="BW38" s="141" t="s">
        <v>9</v>
      </c>
      <c r="BX38" s="141"/>
      <c r="BY38" s="141"/>
      <c r="BZ38" s="141"/>
      <c r="CA38" s="141"/>
      <c r="CB38" s="141"/>
      <c r="CC38" s="107" t="s">
        <v>91</v>
      </c>
      <c r="CD38" s="161" t="s">
        <v>111</v>
      </c>
      <c r="CE38" s="141"/>
      <c r="CF38" s="141"/>
      <c r="CG38" s="141"/>
      <c r="CH38" s="141"/>
      <c r="CI38" s="141"/>
      <c r="CJ38" s="104" t="s">
        <v>33</v>
      </c>
      <c r="CK38" s="151">
        <f>CU32+AJ32+AJ33/(1+(AJ33*AJ43*AP39)^2)</f>
        <v>1219.7608692383333</v>
      </c>
      <c r="CL38" s="152"/>
      <c r="CM38" s="152"/>
      <c r="CN38" s="153"/>
      <c r="CO38" s="109" t="s">
        <v>91</v>
      </c>
      <c r="CP38" s="151">
        <f>CZ32-(AJ33^2*AJ43*AP39)/(1+(AJ33*AJ43*AP39)^2)</f>
        <v>-3120.3287912497999</v>
      </c>
      <c r="CQ38" s="152"/>
      <c r="CR38" s="152"/>
      <c r="CS38" s="153"/>
      <c r="CT38" s="108" t="s">
        <v>33</v>
      </c>
      <c r="CU38" s="108" t="s">
        <v>112</v>
      </c>
      <c r="CV38" s="108"/>
      <c r="CW38" s="115" t="s">
        <v>96</v>
      </c>
      <c r="CX38" s="108" t="s">
        <v>113</v>
      </c>
      <c r="CY38" s="108"/>
      <c r="CZ38" s="2"/>
      <c r="DA38" s="2"/>
      <c r="DB38" s="2"/>
      <c r="DC38" s="2"/>
      <c r="DD38" s="1"/>
      <c r="DE38" s="1"/>
      <c r="DF38" s="2"/>
      <c r="DG38" s="2"/>
      <c r="DH38" s="2"/>
      <c r="DI38" s="2"/>
      <c r="DJ38" s="2"/>
      <c r="FO38" s="65" t="s">
        <v>219</v>
      </c>
      <c r="FP38" s="30">
        <f>SQRT(FP44^2+FR44^2)</f>
        <v>0.95859303177064104</v>
      </c>
      <c r="FT38" s="29">
        <v>70</v>
      </c>
      <c r="FU38" s="27">
        <f t="shared" si="11"/>
        <v>439.82297150257102</v>
      </c>
      <c r="FV38" s="30">
        <f t="shared" si="12"/>
        <v>183.98806289777767</v>
      </c>
      <c r="FW38" s="30">
        <f t="shared" si="13"/>
        <v>233.23272970120806</v>
      </c>
      <c r="FX38" s="34">
        <f t="shared" si="14"/>
        <v>297.06752345679485</v>
      </c>
      <c r="FY38" s="30">
        <f t="shared" si="15"/>
        <v>153.50596855111118</v>
      </c>
      <c r="FZ38" s="30">
        <f t="shared" si="16"/>
        <v>-116.61636485060403</v>
      </c>
      <c r="GA38" s="34">
        <f t="shared" si="17"/>
        <v>192.77826363930123</v>
      </c>
      <c r="GB38" s="34">
        <f t="shared" si="18"/>
        <v>1.2104863835394122</v>
      </c>
      <c r="GC38" s="34">
        <f t="shared" si="19"/>
        <v>9.8587989711768529</v>
      </c>
      <c r="GD38" s="34">
        <f t="shared" si="20"/>
        <v>9.9328341594336553</v>
      </c>
      <c r="GE38" s="55">
        <f t="shared" si="21"/>
        <v>299.39475680823034</v>
      </c>
      <c r="GF38" s="55">
        <f t="shared" si="22"/>
        <v>-4.9293994855884264</v>
      </c>
      <c r="GG38" s="34">
        <f t="shared" si="23"/>
        <v>299.43533422685425</v>
      </c>
      <c r="GH38" s="30">
        <f t="shared" si="24"/>
        <v>293.36993166770037</v>
      </c>
      <c r="GI38" s="30">
        <f t="shared" si="0"/>
        <v>-592.02325194270952</v>
      </c>
      <c r="GJ38" s="34">
        <f t="shared" si="25"/>
        <v>660.72494099097855</v>
      </c>
      <c r="GK38" s="34">
        <f t="shared" si="26"/>
        <v>299.39475680823034</v>
      </c>
      <c r="GL38" s="34">
        <f t="shared" si="27"/>
        <v>-18194.065752845054</v>
      </c>
      <c r="GM38" s="34">
        <f t="shared" si="28"/>
        <v>18196.528950304055</v>
      </c>
      <c r="GN38" s="55">
        <f t="shared" si="1"/>
        <v>601.21048638353943</v>
      </c>
      <c r="GO38" s="55">
        <f t="shared" si="2"/>
        <v>9.8587989711768529</v>
      </c>
      <c r="GP38" s="34">
        <f t="shared" si="29"/>
        <v>601.29131446802569</v>
      </c>
      <c r="GQ38" s="55">
        <f t="shared" si="30"/>
        <v>600.87901028145973</v>
      </c>
      <c r="GR38" s="55">
        <f t="shared" si="31"/>
        <v>-9.9968001660697769</v>
      </c>
      <c r="GS38" s="34">
        <f t="shared" si="32"/>
        <v>600.96216271108699</v>
      </c>
      <c r="GT38" s="56">
        <f t="shared" si="33"/>
        <v>786.07755956277674</v>
      </c>
      <c r="GU38" s="56">
        <f t="shared" si="33"/>
        <v>233.09472850631514</v>
      </c>
      <c r="GV38" s="34">
        <f t="shared" si="34"/>
        <v>819.90919137768151</v>
      </c>
      <c r="GW38" s="30">
        <f t="shared" si="35"/>
        <v>417.59736863573488</v>
      </c>
      <c r="GX38" s="30">
        <f t="shared" si="3"/>
        <v>-228.91859364138048</v>
      </c>
      <c r="GY38" s="34">
        <f t="shared" si="36"/>
        <v>476.22608581034001</v>
      </c>
      <c r="GZ38" s="34">
        <f t="shared" si="4"/>
        <v>601.58543153351252</v>
      </c>
      <c r="HA38" s="34">
        <f t="shared" si="4"/>
        <v>4.3141360598275753</v>
      </c>
      <c r="HB38" s="34">
        <f t="shared" si="37"/>
        <v>601.60090026803084</v>
      </c>
      <c r="HC38" s="33">
        <f t="shared" si="5"/>
        <v>0.69139696164538778</v>
      </c>
      <c r="HD38" s="33">
        <f t="shared" si="6"/>
        <v>-0.38548369366945284</v>
      </c>
      <c r="HE38" s="33">
        <f t="shared" si="38"/>
        <v>0.79159802719405414</v>
      </c>
      <c r="HF38" s="33">
        <f t="shared" si="39"/>
        <v>0.40619684405038031</v>
      </c>
      <c r="HG38" s="33">
        <f t="shared" si="7"/>
        <v>-0.41582848385433269</v>
      </c>
      <c r="HH38" s="33">
        <f t="shared" si="40"/>
        <v>0.58129958205823784</v>
      </c>
      <c r="HI38" s="30">
        <f t="shared" si="54"/>
        <v>0.39857262462758358</v>
      </c>
      <c r="HJ38" s="30">
        <f t="shared" si="41"/>
        <v>-0.42164541054283261</v>
      </c>
      <c r="HK38" s="33">
        <f t="shared" si="42"/>
        <v>0.58021115926389633</v>
      </c>
      <c r="HL38" s="61">
        <f t="shared" si="43"/>
        <v>0.39076472979617294</v>
      </c>
      <c r="HM38" s="61">
        <f t="shared" si="44"/>
        <v>-0.42720432038162515</v>
      </c>
      <c r="HN38" s="33">
        <f t="shared" si="45"/>
        <v>0.57896511587953403</v>
      </c>
      <c r="HO38" s="30">
        <f t="shared" si="46"/>
        <v>-4.7119997858358129</v>
      </c>
      <c r="HP38" s="30">
        <f t="shared" si="47"/>
        <v>-7.8831296716048271E-2</v>
      </c>
      <c r="HQ38" s="29">
        <v>70</v>
      </c>
      <c r="HR38" s="30">
        <v>439.82297150257102</v>
      </c>
      <c r="HS38" s="30">
        <f t="shared" si="48"/>
        <v>-4.6331684891197646</v>
      </c>
      <c r="HT38" s="30">
        <f t="shared" si="49"/>
        <v>-4.7469520566232166</v>
      </c>
      <c r="HU38" s="30">
        <f t="shared" si="50"/>
        <v>-0.11378356750345198</v>
      </c>
      <c r="HV38" s="30">
        <f t="shared" si="8"/>
        <v>15.183034055253001</v>
      </c>
      <c r="HW38" s="30">
        <f t="shared" si="9"/>
        <v>15.27946887672465</v>
      </c>
      <c r="HX38" s="73">
        <f t="shared" si="51"/>
        <v>1.6009002680308413</v>
      </c>
      <c r="HY38" s="30">
        <f t="shared" si="52"/>
        <v>15.217986326040405</v>
      </c>
      <c r="HZ38" s="74">
        <f t="shared" si="53"/>
        <v>-9.6434821471648391E-2</v>
      </c>
    </row>
    <row r="39" spans="1:234" ht="15" customHeight="1" thickBot="1">
      <c r="AI39" s="65" t="s">
        <v>47</v>
      </c>
      <c r="AJ39" s="136">
        <f>FP20</f>
        <v>4.7750000000000004</v>
      </c>
      <c r="AK39" s="136"/>
      <c r="AL39" s="136"/>
      <c r="AM39" s="136"/>
      <c r="AN39" s="64" t="s">
        <v>69</v>
      </c>
      <c r="AO39" s="64"/>
      <c r="AP39" s="104">
        <f>AJ39/1000000</f>
        <v>4.775E-6</v>
      </c>
      <c r="AQ39" s="104"/>
      <c r="AR39" s="104"/>
      <c r="AS39" s="104"/>
      <c r="AT39" s="30" t="s">
        <v>70</v>
      </c>
      <c r="AW39" s="104"/>
      <c r="AX39" s="104"/>
      <c r="AY39" s="164"/>
      <c r="AZ39" s="164"/>
      <c r="BA39" s="160"/>
      <c r="BB39" s="160"/>
      <c r="BC39" s="142" t="s">
        <v>27</v>
      </c>
      <c r="BD39" s="142"/>
      <c r="BE39" s="142"/>
      <c r="BF39" s="142"/>
      <c r="BG39" s="142"/>
      <c r="BH39" s="142"/>
      <c r="BI39" s="104"/>
      <c r="BJ39" s="116"/>
      <c r="BK39" s="108"/>
      <c r="BL39" s="108"/>
      <c r="BM39" s="108"/>
      <c r="BN39" s="108" t="s">
        <v>67</v>
      </c>
      <c r="BO39" s="108"/>
      <c r="BP39" s="108"/>
      <c r="BQ39" s="108"/>
      <c r="BR39" s="104"/>
      <c r="BS39" s="164"/>
      <c r="BT39" s="142"/>
      <c r="BU39" s="142"/>
      <c r="BV39" s="142"/>
      <c r="BW39" s="158" t="s">
        <v>68</v>
      </c>
      <c r="BX39" s="158"/>
      <c r="BY39" s="158"/>
      <c r="BZ39" s="158"/>
      <c r="CA39" s="158"/>
      <c r="CB39" s="158"/>
      <c r="CC39" s="104"/>
      <c r="CD39" s="158" t="s">
        <v>68</v>
      </c>
      <c r="CE39" s="158"/>
      <c r="CF39" s="158"/>
      <c r="CG39" s="158"/>
      <c r="CH39" s="158"/>
      <c r="CI39" s="158"/>
      <c r="CJ39" s="104"/>
      <c r="CK39" s="159"/>
      <c r="CL39" s="155"/>
      <c r="CM39" s="155"/>
      <c r="CN39" s="156"/>
      <c r="CO39" s="108"/>
      <c r="CP39" s="159"/>
      <c r="CQ39" s="155"/>
      <c r="CR39" s="155"/>
      <c r="CS39" s="156"/>
      <c r="CT39" s="108"/>
      <c r="CU39" s="108"/>
      <c r="CV39" s="108"/>
      <c r="CW39" s="116"/>
      <c r="CX39" s="108"/>
      <c r="CY39" s="108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FO39" s="65" t="s">
        <v>220</v>
      </c>
      <c r="FP39" s="30">
        <f>SQRT(FP45^2+FR45^2)</f>
        <v>0.95691577757192015</v>
      </c>
      <c r="FT39" s="29">
        <v>80</v>
      </c>
      <c r="FU39" s="27">
        <f t="shared" si="11"/>
        <v>502.6548245743669</v>
      </c>
      <c r="FV39" s="30">
        <f t="shared" si="12"/>
        <v>214.91525295740726</v>
      </c>
      <c r="FW39" s="30">
        <f t="shared" si="13"/>
        <v>239.70030905688594</v>
      </c>
      <c r="FX39" s="34">
        <f t="shared" si="14"/>
        <v>321.93913107249483</v>
      </c>
      <c r="FY39" s="30">
        <f t="shared" si="15"/>
        <v>138.04237352129638</v>
      </c>
      <c r="FZ39" s="30">
        <f t="shared" si="16"/>
        <v>-119.85015452844297</v>
      </c>
      <c r="GA39" s="34">
        <f t="shared" si="17"/>
        <v>182.81071201624036</v>
      </c>
      <c r="GB39" s="34">
        <f t="shared" si="18"/>
        <v>1.260158798355363</v>
      </c>
      <c r="GC39" s="34">
        <f t="shared" si="19"/>
        <v>11.266264156909047</v>
      </c>
      <c r="GD39" s="34">
        <f t="shared" si="20"/>
        <v>11.336520994128929</v>
      </c>
      <c r="GE39" s="55">
        <f t="shared" si="21"/>
        <v>299.36992060082235</v>
      </c>
      <c r="GF39" s="55">
        <f t="shared" si="22"/>
        <v>-5.6331320784545236</v>
      </c>
      <c r="GG39" s="34">
        <f t="shared" si="23"/>
        <v>299.42291418252546</v>
      </c>
      <c r="GH39" s="30">
        <f t="shared" si="24"/>
        <v>273.49041847358899</v>
      </c>
      <c r="GI39" s="30">
        <f t="shared" si="0"/>
        <v>-535.98449993214558</v>
      </c>
      <c r="GJ39" s="34">
        <f t="shared" si="25"/>
        <v>601.72783977839265</v>
      </c>
      <c r="GK39" s="34">
        <f t="shared" si="26"/>
        <v>299.36992060082235</v>
      </c>
      <c r="GL39" s="34">
        <f t="shared" si="27"/>
        <v>-15921.12744126799</v>
      </c>
      <c r="GM39" s="34">
        <f t="shared" si="28"/>
        <v>15923.94176548185</v>
      </c>
      <c r="GN39" s="55">
        <f t="shared" si="1"/>
        <v>601.26015879835541</v>
      </c>
      <c r="GO39" s="55">
        <f t="shared" si="2"/>
        <v>11.266264156909047</v>
      </c>
      <c r="GP39" s="34">
        <f t="shared" si="29"/>
        <v>601.3657017707917</v>
      </c>
      <c r="GQ39" s="55">
        <f t="shared" si="30"/>
        <v>600.8272505566008</v>
      </c>
      <c r="GR39" s="55">
        <f t="shared" si="31"/>
        <v>-11.423874722830456</v>
      </c>
      <c r="GS39" s="34">
        <f t="shared" si="32"/>
        <v>600.93584509919799</v>
      </c>
      <c r="GT39" s="56">
        <f t="shared" si="33"/>
        <v>817.00266231236344</v>
      </c>
      <c r="GU39" s="56">
        <f t="shared" si="33"/>
        <v>239.54269849096454</v>
      </c>
      <c r="GV39" s="34">
        <f t="shared" si="34"/>
        <v>851.39535741382974</v>
      </c>
      <c r="GW39" s="30">
        <f t="shared" si="35"/>
        <v>386.87785398249127</v>
      </c>
      <c r="GX39" s="30">
        <f t="shared" si="3"/>
        <v>-236.31636653039175</v>
      </c>
      <c r="GY39" s="34">
        <f t="shared" si="36"/>
        <v>453.34302574565356</v>
      </c>
      <c r="GZ39" s="34">
        <f t="shared" si="4"/>
        <v>601.79310693989851</v>
      </c>
      <c r="HA39" s="34">
        <f t="shared" si="4"/>
        <v>3.3839425264941951</v>
      </c>
      <c r="HB39" s="34">
        <f t="shared" si="37"/>
        <v>601.80262098747858</v>
      </c>
      <c r="HC39" s="33">
        <f t="shared" si="5"/>
        <v>0.64064680819064079</v>
      </c>
      <c r="HD39" s="33">
        <f t="shared" si="6"/>
        <v>-0.39628948181506568</v>
      </c>
      <c r="HE39" s="33">
        <f t="shared" si="38"/>
        <v>0.75330849340898121</v>
      </c>
      <c r="HF39" s="33">
        <f t="shared" si="39"/>
        <v>0.35579744690226955</v>
      </c>
      <c r="HG39" s="33">
        <f t="shared" si="7"/>
        <v>-0.3964865424024322</v>
      </c>
      <c r="HH39" s="33">
        <f t="shared" si="40"/>
        <v>0.53272263095198891</v>
      </c>
      <c r="HI39" s="30">
        <f t="shared" si="54"/>
        <v>0.34763523579891803</v>
      </c>
      <c r="HJ39" s="30">
        <f t="shared" si="41"/>
        <v>-0.40231652392087752</v>
      </c>
      <c r="HK39" s="33">
        <f t="shared" si="42"/>
        <v>0.53170371692207241</v>
      </c>
      <c r="HL39" s="61">
        <f t="shared" si="43"/>
        <v>0.33926481516907653</v>
      </c>
      <c r="HM39" s="61">
        <f t="shared" si="44"/>
        <v>-0.40783038388812165</v>
      </c>
      <c r="HN39" s="33">
        <f t="shared" si="45"/>
        <v>0.53049621754923038</v>
      </c>
      <c r="HO39" s="30">
        <f t="shared" si="46"/>
        <v>-5.4699770652870559</v>
      </c>
      <c r="HP39" s="30">
        <f t="shared" si="47"/>
        <v>-5.9276555305295631E-2</v>
      </c>
      <c r="HQ39" s="29">
        <v>80</v>
      </c>
      <c r="HR39" s="30">
        <v>502.6548245743669</v>
      </c>
      <c r="HS39" s="30">
        <f t="shared" si="48"/>
        <v>-5.4107005099817602</v>
      </c>
      <c r="HT39" s="30">
        <f t="shared" si="49"/>
        <v>-5.5063541656337165</v>
      </c>
      <c r="HU39" s="30">
        <f t="shared" si="50"/>
        <v>-9.5653655651956271E-2</v>
      </c>
      <c r="HV39" s="30">
        <f t="shared" si="8"/>
        <v>14.423631946242502</v>
      </c>
      <c r="HW39" s="30">
        <f t="shared" si="9"/>
        <v>14.501936855862654</v>
      </c>
      <c r="HX39" s="73">
        <f t="shared" si="51"/>
        <v>1.8026209874785764</v>
      </c>
      <c r="HY39" s="30">
        <f t="shared" si="52"/>
        <v>14.460009046589162</v>
      </c>
      <c r="HZ39" s="74">
        <f t="shared" si="53"/>
        <v>-7.8304909620152685E-2</v>
      </c>
    </row>
    <row r="40" spans="1:234" ht="15" customHeight="1">
      <c r="AI40" s="65" t="s">
        <v>48</v>
      </c>
      <c r="AJ40" s="136">
        <f>FP21</f>
        <v>0.125</v>
      </c>
      <c r="AK40" s="136"/>
      <c r="AL40" s="136"/>
      <c r="AM40" s="136"/>
      <c r="AN40" s="64" t="s">
        <v>69</v>
      </c>
      <c r="AO40" s="64"/>
      <c r="AP40" s="104">
        <f>AJ40/1000000</f>
        <v>1.2499999999999999E-7</v>
      </c>
      <c r="AQ40" s="104"/>
      <c r="AR40" s="104"/>
      <c r="AS40" s="104"/>
      <c r="AT40" s="30" t="s">
        <v>70</v>
      </c>
      <c r="AW40" s="142" t="s">
        <v>29</v>
      </c>
      <c r="AX40" s="142"/>
      <c r="AY40" s="164" t="s">
        <v>104</v>
      </c>
      <c r="AZ40" s="160" t="s">
        <v>30</v>
      </c>
      <c r="BA40" s="141">
        <v>1</v>
      </c>
      <c r="BB40" s="141"/>
      <c r="BC40" s="141"/>
      <c r="BD40" s="142" t="s">
        <v>33</v>
      </c>
      <c r="BE40" s="164" t="s">
        <v>104</v>
      </c>
      <c r="BF40" s="160" t="s">
        <v>105</v>
      </c>
      <c r="BG40" s="161" t="s">
        <v>106</v>
      </c>
      <c r="BH40" s="141"/>
      <c r="BI40" s="141"/>
      <c r="BJ40" s="142" t="s">
        <v>33</v>
      </c>
      <c r="BK40" s="164">
        <f>CQ36</f>
        <v>299.47426037175751</v>
      </c>
      <c r="BL40" s="164"/>
      <c r="BM40" s="164"/>
      <c r="BN40" s="164"/>
      <c r="BO40" s="165" t="s">
        <v>91</v>
      </c>
      <c r="BP40" s="142">
        <f>CV36</f>
        <v>-0.70438692512339685</v>
      </c>
      <c r="BQ40" s="142"/>
      <c r="BR40" s="142"/>
      <c r="BS40" s="142"/>
      <c r="BT40" s="160" t="s">
        <v>91</v>
      </c>
      <c r="BU40" s="141">
        <v>-1</v>
      </c>
      <c r="BV40" s="141"/>
      <c r="BW40" s="141"/>
      <c r="BX40" s="141"/>
      <c r="BY40" s="141"/>
      <c r="BZ40" s="104" t="s">
        <v>33</v>
      </c>
      <c r="CA40" s="151">
        <f>BK40</f>
        <v>299.47426037175751</v>
      </c>
      <c r="CB40" s="152"/>
      <c r="CC40" s="152"/>
      <c r="CD40" s="153"/>
      <c r="CE40" s="109" t="s">
        <v>91</v>
      </c>
      <c r="CF40" s="151">
        <f>BP40+BU40/BU41</f>
        <v>-127324.65886044141</v>
      </c>
      <c r="CG40" s="152"/>
      <c r="CH40" s="152"/>
      <c r="CI40" s="153"/>
      <c r="CJ40" s="108" t="s">
        <v>33</v>
      </c>
      <c r="CK40" s="108" t="s">
        <v>107</v>
      </c>
      <c r="CL40" s="108"/>
      <c r="CM40" s="115" t="s">
        <v>96</v>
      </c>
      <c r="CN40" s="108" t="s">
        <v>108</v>
      </c>
      <c r="CO40" s="108"/>
      <c r="CP40" s="2"/>
      <c r="CQ40" s="2"/>
      <c r="CR40" s="2"/>
      <c r="DL40" s="104"/>
      <c r="FO40" s="65" t="s">
        <v>221</v>
      </c>
      <c r="FP40" s="30">
        <f>SQRT(FP46^2+FR46^2)</f>
        <v>0.95523912557071455</v>
      </c>
      <c r="FT40" s="29">
        <v>90</v>
      </c>
      <c r="FU40" s="27">
        <f t="shared" si="11"/>
        <v>565.48667764616278</v>
      </c>
      <c r="FV40" s="30">
        <f t="shared" si="12"/>
        <v>243.2053705828541</v>
      </c>
      <c r="FW40" s="30">
        <f t="shared" si="13"/>
        <v>242.03077542838119</v>
      </c>
      <c r="FX40" s="34">
        <f t="shared" si="14"/>
        <v>343.11477457959586</v>
      </c>
      <c r="FY40" s="30">
        <f t="shared" si="15"/>
        <v>123.89731470857295</v>
      </c>
      <c r="FZ40" s="30">
        <f t="shared" si="16"/>
        <v>-121.0153877141906</v>
      </c>
      <c r="GA40" s="34">
        <f t="shared" si="17"/>
        <v>173.19142200354796</v>
      </c>
      <c r="GB40" s="34">
        <f t="shared" si="18"/>
        <v>1.316444240148863</v>
      </c>
      <c r="GC40" s="34">
        <f t="shared" si="19"/>
        <v>12.67335568659956</v>
      </c>
      <c r="GD40" s="34">
        <f t="shared" si="20"/>
        <v>12.741545031764653</v>
      </c>
      <c r="GE40" s="55">
        <f t="shared" si="21"/>
        <v>299.34177787992559</v>
      </c>
      <c r="GF40" s="55">
        <f t="shared" si="22"/>
        <v>-6.3366778432997801</v>
      </c>
      <c r="GG40" s="34">
        <f t="shared" si="23"/>
        <v>299.40884000043229</v>
      </c>
      <c r="GH40" s="30">
        <f t="shared" si="24"/>
        <v>256.31593932687639</v>
      </c>
      <c r="GI40" s="30">
        <f t="shared" si="0"/>
        <v>-491.00607736930607</v>
      </c>
      <c r="GJ40" s="34">
        <f t="shared" si="25"/>
        <v>553.88160175854546</v>
      </c>
      <c r="GK40" s="34">
        <f t="shared" si="26"/>
        <v>299.34177787992559</v>
      </c>
      <c r="GL40" s="34">
        <f t="shared" si="27"/>
        <v>-14153.44273045622</v>
      </c>
      <c r="GM40" s="34">
        <f t="shared" si="28"/>
        <v>14156.60787845338</v>
      </c>
      <c r="GN40" s="55">
        <f t="shared" si="1"/>
        <v>601.31644424014883</v>
      </c>
      <c r="GO40" s="55">
        <f t="shared" si="2"/>
        <v>12.67335568659956</v>
      </c>
      <c r="GP40" s="34">
        <f t="shared" si="29"/>
        <v>601.44998134339903</v>
      </c>
      <c r="GQ40" s="55">
        <f t="shared" si="30"/>
        <v>600.76860230139903</v>
      </c>
      <c r="GR40" s="55">
        <f t="shared" si="31"/>
        <v>-12.850533732506394</v>
      </c>
      <c r="GS40" s="34">
        <f t="shared" si="32"/>
        <v>600.90602404068704</v>
      </c>
      <c r="GT40" s="56">
        <f t="shared" si="33"/>
        <v>845.29041712440198</v>
      </c>
      <c r="GU40" s="56">
        <f t="shared" si="33"/>
        <v>241.85359738247436</v>
      </c>
      <c r="GV40" s="34">
        <f t="shared" si="34"/>
        <v>879.20933334968049</v>
      </c>
      <c r="GW40" s="30">
        <f t="shared" si="35"/>
        <v>358.61709593963894</v>
      </c>
      <c r="GX40" s="30">
        <f t="shared" si="3"/>
        <v>-239.37903008103274</v>
      </c>
      <c r="GY40" s="34">
        <f t="shared" si="36"/>
        <v>431.17112790946032</v>
      </c>
      <c r="GZ40" s="34">
        <f t="shared" si="4"/>
        <v>601.82246652249307</v>
      </c>
      <c r="HA40" s="34">
        <f t="shared" si="4"/>
        <v>2.6517453473484522</v>
      </c>
      <c r="HB40" s="34">
        <f t="shared" si="37"/>
        <v>601.82830854372787</v>
      </c>
      <c r="HC40" s="33">
        <f t="shared" si="5"/>
        <v>0.59412106408223431</v>
      </c>
      <c r="HD40" s="33">
        <f t="shared" si="6"/>
        <v>-0.40037469727705627</v>
      </c>
      <c r="HE40" s="33">
        <f t="shared" si="38"/>
        <v>0.71643543812816857</v>
      </c>
      <c r="HF40" s="33">
        <f t="shared" si="39"/>
        <v>0.31562821629225041</v>
      </c>
      <c r="HG40" s="33">
        <f t="shared" si="7"/>
        <v>-0.37561138345692185</v>
      </c>
      <c r="HH40" s="33">
        <f t="shared" si="40"/>
        <v>0.49061704240909776</v>
      </c>
      <c r="HI40" s="30">
        <f t="shared" si="54"/>
        <v>0.30703353089866214</v>
      </c>
      <c r="HJ40" s="30">
        <f t="shared" si="41"/>
        <v>-0.38143634127180376</v>
      </c>
      <c r="HK40" s="33">
        <f t="shared" si="42"/>
        <v>0.48965627897426134</v>
      </c>
      <c r="HL40" s="61">
        <f t="shared" si="43"/>
        <v>0.29820732928101862</v>
      </c>
      <c r="HM40" s="61">
        <f t="shared" si="44"/>
        <v>-0.38688629679733355</v>
      </c>
      <c r="HN40" s="33">
        <f t="shared" si="45"/>
        <v>0.48847581095328796</v>
      </c>
      <c r="HO40" s="30">
        <f t="shared" si="46"/>
        <v>-6.1851473983497938</v>
      </c>
      <c r="HP40" s="30">
        <f t="shared" si="47"/>
        <v>-4.2361680032284355E-2</v>
      </c>
      <c r="HQ40" s="29">
        <v>90</v>
      </c>
      <c r="HR40" s="30">
        <v>565.48667764616278</v>
      </c>
      <c r="HS40" s="30">
        <f t="shared" si="48"/>
        <v>-6.1427857183175094</v>
      </c>
      <c r="HT40" s="30">
        <f t="shared" si="49"/>
        <v>-6.2231387486118503</v>
      </c>
      <c r="HU40" s="30">
        <f t="shared" si="50"/>
        <v>-8.0353030294340932E-2</v>
      </c>
      <c r="HV40" s="30">
        <f t="shared" si="8"/>
        <v>13.706847363264368</v>
      </c>
      <c r="HW40" s="30">
        <f t="shared" si="9"/>
        <v>13.769851647526906</v>
      </c>
      <c r="HX40" s="73">
        <f t="shared" si="51"/>
        <v>1.8283085437278714</v>
      </c>
      <c r="HY40" s="30">
        <f t="shared" si="52"/>
        <v>13.744838713526423</v>
      </c>
      <c r="HZ40" s="74">
        <f t="shared" si="53"/>
        <v>-6.3004284262538235E-2</v>
      </c>
    </row>
    <row r="41" spans="1:234" ht="15" customHeight="1" thickBot="1">
      <c r="AE41" s="63"/>
      <c r="AI41" s="65"/>
      <c r="AW41" s="142"/>
      <c r="AX41" s="142"/>
      <c r="AY41" s="164"/>
      <c r="AZ41" s="160"/>
      <c r="BA41" s="164" t="s">
        <v>31</v>
      </c>
      <c r="BB41" s="164"/>
      <c r="BC41" s="164"/>
      <c r="BD41" s="142"/>
      <c r="BE41" s="164"/>
      <c r="BF41" s="160"/>
      <c r="BG41" s="158" t="s">
        <v>52</v>
      </c>
      <c r="BH41" s="158"/>
      <c r="BI41" s="158"/>
      <c r="BJ41" s="142"/>
      <c r="BK41" s="164"/>
      <c r="BL41" s="164"/>
      <c r="BM41" s="164"/>
      <c r="BN41" s="164"/>
      <c r="BO41" s="164"/>
      <c r="BP41" s="142"/>
      <c r="BQ41" s="142"/>
      <c r="BR41" s="142"/>
      <c r="BS41" s="142"/>
      <c r="BT41" s="142"/>
      <c r="BU41" s="164">
        <f>AJ43*AP40</f>
        <v>7.853981633974482E-6</v>
      </c>
      <c r="BV41" s="164"/>
      <c r="BW41" s="164"/>
      <c r="BX41" s="164"/>
      <c r="BY41" s="164"/>
      <c r="BZ41" s="104"/>
      <c r="CA41" s="159"/>
      <c r="CB41" s="155"/>
      <c r="CC41" s="155"/>
      <c r="CD41" s="156"/>
      <c r="CE41" s="108"/>
      <c r="CF41" s="159"/>
      <c r="CG41" s="155"/>
      <c r="CH41" s="155"/>
      <c r="CI41" s="156"/>
      <c r="CJ41" s="108"/>
      <c r="CK41" s="108"/>
      <c r="CL41" s="108"/>
      <c r="CM41" s="116"/>
      <c r="CN41" s="108"/>
      <c r="CO41" s="108"/>
      <c r="CP41" s="2"/>
      <c r="CQ41" s="2"/>
      <c r="CR41" s="2"/>
      <c r="CS41" s="105" t="s">
        <v>9</v>
      </c>
      <c r="CT41" s="105"/>
      <c r="CU41" s="105"/>
      <c r="CV41" s="105"/>
      <c r="CW41" s="104" t="s">
        <v>177</v>
      </c>
      <c r="CX41" s="105" t="s">
        <v>179</v>
      </c>
      <c r="CY41" s="105"/>
      <c r="CZ41" s="105"/>
      <c r="DA41" s="105"/>
      <c r="DB41" s="105"/>
      <c r="DC41" s="105"/>
      <c r="DD41" s="105"/>
      <c r="DE41" s="105"/>
      <c r="DF41" s="105"/>
      <c r="DL41" s="104"/>
      <c r="FT41" s="29">
        <f>FT26*10</f>
        <v>100</v>
      </c>
      <c r="FU41" s="27">
        <f t="shared" si="11"/>
        <v>628.31853071795865</v>
      </c>
      <c r="FV41" s="30">
        <f t="shared" si="12"/>
        <v>268.66777613595031</v>
      </c>
      <c r="FW41" s="30">
        <f t="shared" si="13"/>
        <v>241.28960103913195</v>
      </c>
      <c r="FX41" s="34">
        <f t="shared" si="14"/>
        <v>361.11361855164171</v>
      </c>
      <c r="FY41" s="30">
        <f t="shared" si="15"/>
        <v>111.1661119320249</v>
      </c>
      <c r="FZ41" s="30">
        <f t="shared" si="16"/>
        <v>-120.64480051956598</v>
      </c>
      <c r="GA41" s="34">
        <f t="shared" si="17"/>
        <v>164.0520415431925</v>
      </c>
      <c r="GB41" s="34">
        <f t="shared" si="18"/>
        <v>1.3793389768277109</v>
      </c>
      <c r="GC41" s="34">
        <f t="shared" si="19"/>
        <v>14.080026984957309</v>
      </c>
      <c r="GD41" s="34">
        <f t="shared" si="20"/>
        <v>14.147428597102801</v>
      </c>
      <c r="GE41" s="55">
        <f t="shared" si="21"/>
        <v>299.31033051158619</v>
      </c>
      <c r="GF41" s="55">
        <f t="shared" si="22"/>
        <v>-7.0400134924786544</v>
      </c>
      <c r="GG41" s="34">
        <f t="shared" si="23"/>
        <v>299.39311238057775</v>
      </c>
      <c r="GH41" s="30">
        <f t="shared" si="24"/>
        <v>241.41687036270167</v>
      </c>
      <c r="GI41" s="30">
        <f t="shared" si="0"/>
        <v>-453.69663527892953</v>
      </c>
      <c r="GJ41" s="34">
        <f t="shared" si="25"/>
        <v>513.92873256818746</v>
      </c>
      <c r="GK41" s="34">
        <f t="shared" si="26"/>
        <v>299.31033051158619</v>
      </c>
      <c r="GL41" s="34">
        <f t="shared" si="27"/>
        <v>-12739.435460844106</v>
      </c>
      <c r="GM41" s="34">
        <f t="shared" si="28"/>
        <v>12742.951092072952</v>
      </c>
      <c r="GN41" s="55">
        <f t="shared" si="1"/>
        <v>601.37933897682774</v>
      </c>
      <c r="GO41" s="55">
        <f t="shared" si="2"/>
        <v>14.080026984957309</v>
      </c>
      <c r="GP41" s="34">
        <f t="shared" si="29"/>
        <v>601.54414344094766</v>
      </c>
      <c r="GQ41" s="55">
        <f t="shared" si="30"/>
        <v>600.70307029407979</v>
      </c>
      <c r="GR41" s="55">
        <f t="shared" si="31"/>
        <v>-14.276725472567312</v>
      </c>
      <c r="GS41" s="34">
        <f t="shared" si="32"/>
        <v>600.87270161903109</v>
      </c>
      <c r="GT41" s="56">
        <f t="shared" si="33"/>
        <v>870.75018540685778</v>
      </c>
      <c r="GU41" s="56">
        <f t="shared" si="33"/>
        <v>241.09290255152195</v>
      </c>
      <c r="GV41" s="34">
        <f t="shared" si="34"/>
        <v>903.51074871680123</v>
      </c>
      <c r="GW41" s="30">
        <f t="shared" si="35"/>
        <v>333.09091792893673</v>
      </c>
      <c r="GX41" s="30">
        <f t="shared" si="3"/>
        <v>-239.20521779308962</v>
      </c>
      <c r="GY41" s="34">
        <f t="shared" si="36"/>
        <v>410.0837668406067</v>
      </c>
      <c r="GZ41" s="34">
        <f t="shared" si="4"/>
        <v>601.7586940648871</v>
      </c>
      <c r="HA41" s="34">
        <f t="shared" si="4"/>
        <v>2.0843832460423357</v>
      </c>
      <c r="HB41" s="34">
        <f t="shared" si="37"/>
        <v>601.76230401728787</v>
      </c>
      <c r="HC41" s="33">
        <f t="shared" si="5"/>
        <v>0.55214552138341066</v>
      </c>
      <c r="HD41" s="33">
        <f t="shared" si="6"/>
        <v>-0.39942273046963428</v>
      </c>
      <c r="HE41" s="33">
        <f t="shared" si="38"/>
        <v>0.68147134525200437</v>
      </c>
      <c r="HF41" s="33">
        <f t="shared" si="39"/>
        <v>0.2834580117999459</v>
      </c>
      <c r="HG41" s="33">
        <f t="shared" si="7"/>
        <v>-0.35479030158311342</v>
      </c>
      <c r="HH41" s="33">
        <f t="shared" si="40"/>
        <v>0.45411959058271734</v>
      </c>
      <c r="HI41" s="30">
        <f t="shared" si="54"/>
        <v>0.27451355993556187</v>
      </c>
      <c r="HJ41" s="30">
        <f t="shared" si="41"/>
        <v>-0.36060923877489803</v>
      </c>
      <c r="HK41" s="33">
        <f t="shared" si="42"/>
        <v>0.45320714654372646</v>
      </c>
      <c r="HL41" s="61">
        <f t="shared" si="43"/>
        <v>0.26531495392855725</v>
      </c>
      <c r="HM41" s="61">
        <f t="shared" si="44"/>
        <v>-0.36599392548177739</v>
      </c>
      <c r="HN41" s="33">
        <f t="shared" si="45"/>
        <v>0.45204377914940197</v>
      </c>
      <c r="HO41" s="30">
        <f t="shared" si="46"/>
        <v>-6.8565952472283787</v>
      </c>
      <c r="HP41" s="30">
        <f t="shared" si="47"/>
        <v>-2.7800523161003454E-2</v>
      </c>
      <c r="HQ41" s="29">
        <f>HQ26*10</f>
        <v>100</v>
      </c>
      <c r="HR41" s="30">
        <v>628.31853071795865</v>
      </c>
      <c r="HS41" s="30">
        <f t="shared" si="48"/>
        <v>-6.8287947240673752</v>
      </c>
      <c r="HT41" s="30">
        <f t="shared" si="49"/>
        <v>-6.8963900594228669</v>
      </c>
      <c r="HU41" s="30">
        <f t="shared" si="50"/>
        <v>-6.759533535549167E-2</v>
      </c>
      <c r="HV41" s="30">
        <f t="shared" si="8"/>
        <v>13.033596052453351</v>
      </c>
      <c r="HW41" s="30">
        <f t="shared" si="9"/>
        <v>13.083842641777039</v>
      </c>
      <c r="HX41" s="73">
        <f t="shared" si="51"/>
        <v>1.7623040172878746</v>
      </c>
      <c r="HY41" s="30">
        <f t="shared" si="52"/>
        <v>13.073390864647839</v>
      </c>
      <c r="HZ41" s="74">
        <f t="shared" si="53"/>
        <v>-5.0246589323688085E-2</v>
      </c>
    </row>
    <row r="42" spans="1:234" ht="15" customHeight="1">
      <c r="AI42" s="65" t="s">
        <v>49</v>
      </c>
      <c r="AJ42" s="136">
        <f>FP23</f>
        <v>10</v>
      </c>
      <c r="AK42" s="136"/>
      <c r="AL42" s="136"/>
      <c r="AM42" s="136"/>
      <c r="AN42" s="30" t="s">
        <v>50</v>
      </c>
      <c r="AW42" s="104" t="s">
        <v>32</v>
      </c>
      <c r="AX42" s="104"/>
      <c r="AY42" s="104" t="s">
        <v>86</v>
      </c>
      <c r="AZ42" s="104"/>
      <c r="BA42" s="104"/>
      <c r="BB42" s="104" t="s">
        <v>33</v>
      </c>
      <c r="BC42" s="151">
        <f>DN34+AJ34</f>
        <v>601.05147925648498</v>
      </c>
      <c r="BD42" s="152"/>
      <c r="BE42" s="152"/>
      <c r="BF42" s="153"/>
      <c r="BG42" s="109" t="s">
        <v>105</v>
      </c>
      <c r="BH42" s="151">
        <f>DS34</f>
        <v>1.4087738502467937</v>
      </c>
      <c r="BI42" s="152"/>
      <c r="BJ42" s="152"/>
      <c r="BK42" s="153"/>
      <c r="BL42" s="108" t="s">
        <v>33</v>
      </c>
      <c r="BM42" s="108" t="s">
        <v>109</v>
      </c>
      <c r="BN42" s="108"/>
      <c r="BO42" s="115" t="s">
        <v>96</v>
      </c>
      <c r="BP42" s="108" t="s">
        <v>110</v>
      </c>
      <c r="BQ42" s="108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K42" s="5"/>
      <c r="CS42" s="104" t="s">
        <v>67</v>
      </c>
      <c r="CT42" s="104"/>
      <c r="CU42" s="104"/>
      <c r="CV42" s="104"/>
      <c r="CW42" s="104"/>
      <c r="CX42" s="30" t="s">
        <v>178</v>
      </c>
      <c r="FT42" s="29">
        <v>110</v>
      </c>
      <c r="FU42" s="27">
        <f t="shared" si="11"/>
        <v>691.15038378975453</v>
      </c>
      <c r="FV42" s="30">
        <f t="shared" si="12"/>
        <v>291.343290383159</v>
      </c>
      <c r="FW42" s="30">
        <f t="shared" si="13"/>
        <v>238.34870028314154</v>
      </c>
      <c r="FX42" s="34">
        <f t="shared" si="14"/>
        <v>376.41867086788955</v>
      </c>
      <c r="FY42" s="30">
        <f t="shared" si="15"/>
        <v>99.828354808420514</v>
      </c>
      <c r="FZ42" s="30">
        <f t="shared" si="16"/>
        <v>-119.17435014157077</v>
      </c>
      <c r="GA42" s="34">
        <f t="shared" si="17"/>
        <v>155.46133331289039</v>
      </c>
      <c r="GB42" s="34">
        <f t="shared" si="18"/>
        <v>1.4488388393057627</v>
      </c>
      <c r="GC42" s="34">
        <f t="shared" si="19"/>
        <v>15.486231523110197</v>
      </c>
      <c r="GD42" s="34">
        <f t="shared" si="20"/>
        <v>15.553858067040887</v>
      </c>
      <c r="GE42" s="55">
        <f t="shared" si="21"/>
        <v>299.27558058034714</v>
      </c>
      <c r="GF42" s="55">
        <f t="shared" si="22"/>
        <v>-7.7431157615550985</v>
      </c>
      <c r="GG42" s="34">
        <f t="shared" si="23"/>
        <v>299.37573210499329</v>
      </c>
      <c r="GH42" s="30">
        <f t="shared" si="24"/>
        <v>228.4746327203207</v>
      </c>
      <c r="GI42" s="30">
        <f t="shared" si="0"/>
        <v>-421.98925957784087</v>
      </c>
      <c r="GJ42" s="34">
        <f t="shared" si="25"/>
        <v>479.87039187236775</v>
      </c>
      <c r="GK42" s="34">
        <f t="shared" si="26"/>
        <v>299.27558058034714</v>
      </c>
      <c r="GL42" s="34">
        <f t="shared" si="27"/>
        <v>-11582.648067899398</v>
      </c>
      <c r="GM42" s="34">
        <f t="shared" si="28"/>
        <v>11586.513804330678</v>
      </c>
      <c r="GN42" s="55">
        <f t="shared" si="1"/>
        <v>601.44883883930572</v>
      </c>
      <c r="GO42" s="55">
        <f t="shared" si="2"/>
        <v>15.486231523110197</v>
      </c>
      <c r="GP42" s="34">
        <f t="shared" si="29"/>
        <v>601.64817718325764</v>
      </c>
      <c r="GQ42" s="55">
        <f t="shared" si="30"/>
        <v>600.63065986965444</v>
      </c>
      <c r="GR42" s="55">
        <f t="shared" si="31"/>
        <v>-15.702398298114806</v>
      </c>
      <c r="GS42" s="34">
        <f t="shared" si="32"/>
        <v>600.83588016010583</v>
      </c>
      <c r="GT42" s="56">
        <f t="shared" si="33"/>
        <v>893.42278909211927</v>
      </c>
      <c r="GU42" s="56">
        <f t="shared" si="33"/>
        <v>238.13253350813693</v>
      </c>
      <c r="GV42" s="34">
        <f t="shared" si="34"/>
        <v>924.61418093394252</v>
      </c>
      <c r="GW42" s="30">
        <f t="shared" si="35"/>
        <v>310.30741405302143</v>
      </c>
      <c r="GX42" s="30">
        <f t="shared" si="3"/>
        <v>-236.70209748318069</v>
      </c>
      <c r="GY42" s="34">
        <f t="shared" si="36"/>
        <v>390.28012269293248</v>
      </c>
      <c r="GZ42" s="34">
        <f t="shared" si="4"/>
        <v>601.65070443618038</v>
      </c>
      <c r="HA42" s="34">
        <f t="shared" si="4"/>
        <v>1.6466027999608457</v>
      </c>
      <c r="HB42" s="34">
        <f t="shared" si="37"/>
        <v>601.6529576502827</v>
      </c>
      <c r="HC42" s="33">
        <f t="shared" si="5"/>
        <v>0.51467950435678256</v>
      </c>
      <c r="HD42" s="33">
        <f t="shared" si="6"/>
        <v>-0.39482970508403176</v>
      </c>
      <c r="HE42" s="33">
        <f t="shared" si="38"/>
        <v>0.64867980408032344</v>
      </c>
      <c r="HF42" s="33">
        <f t="shared" si="39"/>
        <v>0.25750119600846849</v>
      </c>
      <c r="HG42" s="33">
        <f t="shared" si="7"/>
        <v>-0.3348353583099003</v>
      </c>
      <c r="HH42" s="33">
        <f t="shared" si="40"/>
        <v>0.4223997906253163</v>
      </c>
      <c r="HI42" s="30">
        <f t="shared" si="54"/>
        <v>0.24827125650866982</v>
      </c>
      <c r="HJ42" s="30">
        <f t="shared" si="41"/>
        <v>-0.34065617745544963</v>
      </c>
      <c r="HK42" s="33">
        <f t="shared" si="42"/>
        <v>0.42152728031166919</v>
      </c>
      <c r="HL42" s="61">
        <f t="shared" si="43"/>
        <v>0.23876474052145996</v>
      </c>
      <c r="HM42" s="61">
        <f t="shared" si="44"/>
        <v>-0.34598333072871379</v>
      </c>
      <c r="HN42" s="33">
        <f t="shared" si="45"/>
        <v>0.42037253294954308</v>
      </c>
      <c r="HO42" s="30">
        <f t="shared" si="46"/>
        <v>-7.4855261148964516</v>
      </c>
      <c r="HP42" s="30">
        <f t="shared" si="47"/>
        <v>-1.5225049089075959E-2</v>
      </c>
      <c r="HQ42" s="29">
        <v>110</v>
      </c>
      <c r="HR42" s="30">
        <v>691.15038378975453</v>
      </c>
      <c r="HS42" s="30">
        <f t="shared" si="48"/>
        <v>-7.4703010658073756</v>
      </c>
      <c r="HT42" s="30">
        <f t="shared" si="49"/>
        <v>-7.5273133684872935</v>
      </c>
      <c r="HU42" s="30">
        <f t="shared" si="50"/>
        <v>-5.7012302679917859E-2</v>
      </c>
      <c r="HV42" s="30">
        <f t="shared" si="8"/>
        <v>12.402672743388925</v>
      </c>
      <c r="HW42" s="30">
        <f t="shared" si="9"/>
        <v>12.442336300037038</v>
      </c>
      <c r="HX42" s="73">
        <f t="shared" si="51"/>
        <v>1.6529576502827013</v>
      </c>
      <c r="HY42" s="30">
        <f t="shared" si="52"/>
        <v>12.444459996979766</v>
      </c>
      <c r="HZ42" s="74">
        <f t="shared" si="53"/>
        <v>-3.9663556648113385E-2</v>
      </c>
    </row>
    <row r="43" spans="1:234" ht="15" customHeight="1" thickBot="1">
      <c r="C43" s="63"/>
      <c r="D43" s="63"/>
      <c r="E43" s="63"/>
      <c r="F43" s="63"/>
      <c r="G43" s="63"/>
      <c r="H43" s="63"/>
      <c r="AI43" s="65" t="s">
        <v>51</v>
      </c>
      <c r="AJ43" s="104">
        <f>2*PI()*AJ42</f>
        <v>62.831853071795862</v>
      </c>
      <c r="AK43" s="104"/>
      <c r="AL43" s="104"/>
      <c r="AM43" s="104"/>
      <c r="AW43" s="104"/>
      <c r="AX43" s="104"/>
      <c r="AY43" s="104"/>
      <c r="AZ43" s="104"/>
      <c r="BA43" s="104"/>
      <c r="BB43" s="104"/>
      <c r="BC43" s="159"/>
      <c r="BD43" s="155"/>
      <c r="BE43" s="155"/>
      <c r="BF43" s="156"/>
      <c r="BG43" s="109"/>
      <c r="BH43" s="159"/>
      <c r="BI43" s="155"/>
      <c r="BJ43" s="155"/>
      <c r="BK43" s="156"/>
      <c r="BL43" s="108"/>
      <c r="BM43" s="108"/>
      <c r="BN43" s="108"/>
      <c r="BO43" s="116"/>
      <c r="BP43" s="108"/>
      <c r="BQ43" s="108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FO43" s="65" t="s">
        <v>213</v>
      </c>
      <c r="FP43" s="30">
        <f>DH6</f>
        <v>0.9780015537872272</v>
      </c>
      <c r="FQ43" s="70" t="s">
        <v>212</v>
      </c>
      <c r="FR43" s="30">
        <f>DN6</f>
        <v>-8.8318121997095891E-2</v>
      </c>
      <c r="FS43" s="30" t="s">
        <v>137</v>
      </c>
      <c r="FT43" s="29">
        <v>120</v>
      </c>
      <c r="FU43" s="27">
        <f t="shared" si="11"/>
        <v>753.98223686155029</v>
      </c>
      <c r="FV43" s="30">
        <f t="shared" si="12"/>
        <v>311.40456686021065</v>
      </c>
      <c r="FW43" s="30">
        <f t="shared" si="13"/>
        <v>233.89057865357978</v>
      </c>
      <c r="FX43" s="34">
        <f t="shared" si="14"/>
        <v>389.45809407984035</v>
      </c>
      <c r="FY43" s="30">
        <f t="shared" si="15"/>
        <v>89.797716569894703</v>
      </c>
      <c r="FZ43" s="30">
        <f t="shared" si="16"/>
        <v>-116.94528932678989</v>
      </c>
      <c r="GA43" s="34">
        <f t="shared" si="17"/>
        <v>147.44433050101907</v>
      </c>
      <c r="GB43" s="34">
        <f t="shared" si="18"/>
        <v>1.5249392221933391</v>
      </c>
      <c r="GC43" s="34">
        <f t="shared" si="19"/>
        <v>16.891922823724844</v>
      </c>
      <c r="GD43" s="34">
        <f t="shared" si="20"/>
        <v>16.960616035806598</v>
      </c>
      <c r="GE43" s="55">
        <f t="shared" si="21"/>
        <v>299.23753038890334</v>
      </c>
      <c r="GF43" s="55">
        <f t="shared" si="22"/>
        <v>-8.445961411862422</v>
      </c>
      <c r="GG43" s="34">
        <f t="shared" si="23"/>
        <v>299.35670003763158</v>
      </c>
      <c r="GH43" s="30">
        <f t="shared" si="24"/>
        <v>217.22336794220416</v>
      </c>
      <c r="GI43" s="30">
        <f t="shared" si="0"/>
        <v>-394.55387613950904</v>
      </c>
      <c r="GJ43" s="34">
        <f t="shared" si="25"/>
        <v>450.39843778244307</v>
      </c>
      <c r="GK43" s="34">
        <f t="shared" si="26"/>
        <v>299.23753038890334</v>
      </c>
      <c r="GL43" s="34">
        <f t="shared" si="27"/>
        <v>-10618.775500871552</v>
      </c>
      <c r="GM43" s="34">
        <f t="shared" si="28"/>
        <v>10622.990927111965</v>
      </c>
      <c r="GN43" s="55">
        <f t="shared" si="1"/>
        <v>601.52493922219332</v>
      </c>
      <c r="GO43" s="55">
        <f t="shared" si="2"/>
        <v>16.891922823724844</v>
      </c>
      <c r="GP43" s="34">
        <f t="shared" si="29"/>
        <v>601.76207055857719</v>
      </c>
      <c r="GQ43" s="55">
        <f t="shared" si="30"/>
        <v>600.55137691814809</v>
      </c>
      <c r="GR43" s="55">
        <f t="shared" si="31"/>
        <v>-17.127500650333001</v>
      </c>
      <c r="GS43" s="34">
        <f t="shared" si="32"/>
        <v>600.79556223128907</v>
      </c>
      <c r="GT43" s="56">
        <f t="shared" si="33"/>
        <v>913.48088300055201</v>
      </c>
      <c r="GU43" s="56">
        <f t="shared" si="33"/>
        <v>233.65500082697164</v>
      </c>
      <c r="GV43" s="34">
        <f t="shared" si="34"/>
        <v>942.8902285096184</v>
      </c>
      <c r="GW43" s="30">
        <f t="shared" si="35"/>
        <v>290.12107398004832</v>
      </c>
      <c r="GX43" s="30">
        <f t="shared" si="3"/>
        <v>-232.5824301305245</v>
      </c>
      <c r="GY43" s="34">
        <f t="shared" si="36"/>
        <v>371.83978320340736</v>
      </c>
      <c r="GZ43" s="34">
        <f t="shared" si="4"/>
        <v>601.52564084025903</v>
      </c>
      <c r="HA43" s="34">
        <f t="shared" si="4"/>
        <v>1.3081485230552801</v>
      </c>
      <c r="HB43" s="34">
        <f t="shared" si="37"/>
        <v>601.52706326552152</v>
      </c>
      <c r="HC43" s="33">
        <f t="shared" si="5"/>
        <v>0.48146559924460797</v>
      </c>
      <c r="HD43" s="33">
        <f t="shared" si="6"/>
        <v>-0.38770127623705075</v>
      </c>
      <c r="HE43" s="33">
        <f t="shared" si="38"/>
        <v>0.61815969041325192</v>
      </c>
      <c r="HF43" s="33">
        <f t="shared" si="39"/>
        <v>0.2363757072832694</v>
      </c>
      <c r="HG43" s="33">
        <f t="shared" si="7"/>
        <v>-0.31611996510685902</v>
      </c>
      <c r="HH43" s="33">
        <f t="shared" si="40"/>
        <v>0.39472181005466067</v>
      </c>
      <c r="HI43" s="30">
        <f t="shared" si="54"/>
        <v>0.22691019944966748</v>
      </c>
      <c r="HJ43" s="30">
        <f t="shared" si="41"/>
        <v>-0.3219547841168578</v>
      </c>
      <c r="HK43" s="33">
        <f t="shared" si="42"/>
        <v>0.39388211641304605</v>
      </c>
      <c r="HL43" s="61">
        <f t="shared" si="43"/>
        <v>0.21714555549483236</v>
      </c>
      <c r="HM43" s="61">
        <f t="shared" si="44"/>
        <v>-0.3272364346016558</v>
      </c>
      <c r="HN43" s="33">
        <f t="shared" si="45"/>
        <v>0.3927287567799983</v>
      </c>
      <c r="HO43" s="30">
        <f t="shared" si="46"/>
        <v>-8.074177526576614</v>
      </c>
      <c r="HP43" s="30">
        <f t="shared" si="47"/>
        <v>-4.2746593256737242E-3</v>
      </c>
      <c r="HQ43" s="29">
        <v>120</v>
      </c>
      <c r="HR43" s="30">
        <v>753.98223686155029</v>
      </c>
      <c r="HS43" s="30">
        <f t="shared" si="48"/>
        <v>-8.0699028672509403</v>
      </c>
      <c r="HT43" s="30">
        <f t="shared" si="49"/>
        <v>-8.1181459443588047</v>
      </c>
      <c r="HU43" s="30">
        <f t="shared" si="50"/>
        <v>-4.8243077107864352E-2</v>
      </c>
      <c r="HV43" s="30">
        <f t="shared" si="8"/>
        <v>11.811840167517413</v>
      </c>
      <c r="HW43" s="30">
        <f t="shared" si="9"/>
        <v>11.842734498593474</v>
      </c>
      <c r="HX43" s="73">
        <f t="shared" si="51"/>
        <v>1.5270632655215195</v>
      </c>
      <c r="HY43" s="30">
        <f t="shared" si="52"/>
        <v>11.855808585299604</v>
      </c>
      <c r="HZ43" s="74">
        <f t="shared" si="53"/>
        <v>-3.0894331076060766E-2</v>
      </c>
    </row>
    <row r="44" spans="1:234" ht="15" customHeight="1">
      <c r="A44" s="65"/>
      <c r="L44" s="13"/>
      <c r="Q44" s="63"/>
      <c r="AW44" s="104" t="s">
        <v>120</v>
      </c>
      <c r="AX44" s="104"/>
      <c r="AY44" s="105" t="s">
        <v>123</v>
      </c>
      <c r="AZ44" s="105"/>
      <c r="BA44" s="105"/>
      <c r="BB44" s="105"/>
      <c r="BC44" s="105"/>
      <c r="BD44" s="105"/>
      <c r="BE44" s="105"/>
      <c r="BF44" s="105"/>
      <c r="BG44" s="104" t="s">
        <v>33</v>
      </c>
      <c r="BH44" s="106" t="s">
        <v>124</v>
      </c>
      <c r="BI44" s="106"/>
      <c r="BJ44" s="106"/>
      <c r="BK44" s="106"/>
      <c r="BL44" s="106"/>
      <c r="BM44" s="106"/>
      <c r="BN44" s="106"/>
      <c r="BO44" s="106"/>
      <c r="BP44" s="106"/>
      <c r="BQ44" s="106"/>
      <c r="BR44" s="106"/>
      <c r="BS44" s="106"/>
      <c r="BT44" s="106"/>
      <c r="BU44" s="106"/>
      <c r="BV44" s="106"/>
      <c r="BW44" s="104" t="s">
        <v>33</v>
      </c>
      <c r="BX44" s="21" t="s">
        <v>125</v>
      </c>
      <c r="BY44" s="22"/>
      <c r="BZ44" s="22"/>
      <c r="CA44" s="22"/>
      <c r="CB44" s="22"/>
      <c r="CC44" s="22"/>
      <c r="CD44" s="22"/>
      <c r="CE44" s="22"/>
      <c r="CF44" s="22"/>
      <c r="CG44" s="22"/>
      <c r="CH44" s="22"/>
      <c r="CI44" s="22"/>
      <c r="CJ44" s="22"/>
      <c r="CK44" s="22"/>
      <c r="CL44" s="22"/>
      <c r="CM44" s="22"/>
      <c r="CN44" s="22"/>
      <c r="CO44" s="22"/>
      <c r="CP44" s="22"/>
      <c r="CU44" s="3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FO44" s="65" t="s">
        <v>214</v>
      </c>
      <c r="FP44" s="30">
        <f>CP13</f>
        <v>0.94400864010894403</v>
      </c>
      <c r="FQ44" s="70" t="s">
        <v>212</v>
      </c>
      <c r="FR44" s="30">
        <f>CW13</f>
        <v>-0.16657817371700123</v>
      </c>
      <c r="FS44" s="30" t="s">
        <v>137</v>
      </c>
      <c r="FT44" s="29">
        <v>130</v>
      </c>
      <c r="FU44" s="27">
        <f t="shared" si="11"/>
        <v>816.81408993334617</v>
      </c>
      <c r="FV44" s="30">
        <f t="shared" si="12"/>
        <v>329.0879735334762</v>
      </c>
      <c r="FW44" s="30">
        <f t="shared" si="13"/>
        <v>228.43290040342455</v>
      </c>
      <c r="FX44" s="34">
        <f t="shared" si="14"/>
        <v>400.60015515609928</v>
      </c>
      <c r="FY44" s="30">
        <f t="shared" si="15"/>
        <v>80.956013233261913</v>
      </c>
      <c r="FZ44" s="30">
        <f t="shared" si="16"/>
        <v>-114.21645020171228</v>
      </c>
      <c r="GA44" s="34">
        <f t="shared" si="17"/>
        <v>139.99740560204785</v>
      </c>
      <c r="GB44" s="34">
        <f t="shared" si="18"/>
        <v>1.6076350845595235</v>
      </c>
      <c r="GC44" s="34">
        <f t="shared" si="19"/>
        <v>18.297054466114364</v>
      </c>
      <c r="GD44" s="34">
        <f t="shared" si="20"/>
        <v>18.367544547409224</v>
      </c>
      <c r="GE44" s="55">
        <f t="shared" si="21"/>
        <v>299.19618245772023</v>
      </c>
      <c r="GF44" s="55">
        <f t="shared" si="22"/>
        <v>-9.1485272330571821</v>
      </c>
      <c r="GG44" s="34">
        <f t="shared" si="23"/>
        <v>299.33601712424684</v>
      </c>
      <c r="GH44" s="30">
        <f t="shared" si="24"/>
        <v>207.43155818884605</v>
      </c>
      <c r="GI44" s="30">
        <f t="shared" si="0"/>
        <v>-370.49083026036999</v>
      </c>
      <c r="GJ44" s="34">
        <f t="shared" si="25"/>
        <v>424.60723809147544</v>
      </c>
      <c r="GK44" s="34">
        <f t="shared" si="26"/>
        <v>299.19618245772023</v>
      </c>
      <c r="GL44" s="34">
        <f t="shared" si="27"/>
        <v>-9803.2988713496943</v>
      </c>
      <c r="GM44" s="34">
        <f t="shared" si="28"/>
        <v>9807.8635347665531</v>
      </c>
      <c r="GN44" s="55">
        <f t="shared" si="1"/>
        <v>601.60763508455955</v>
      </c>
      <c r="GO44" s="55">
        <f t="shared" si="2"/>
        <v>18.297054466114364</v>
      </c>
      <c r="GP44" s="34">
        <f t="shared" si="29"/>
        <v>601.88581042766953</v>
      </c>
      <c r="GQ44" s="55">
        <f t="shared" si="30"/>
        <v>600.46522788264747</v>
      </c>
      <c r="GR44" s="55">
        <f t="shared" si="31"/>
        <v>-18.551981064884401</v>
      </c>
      <c r="GS44" s="34">
        <f t="shared" si="32"/>
        <v>600.75175064047176</v>
      </c>
      <c r="GT44" s="56">
        <f t="shared" si="33"/>
        <v>931.16083650068322</v>
      </c>
      <c r="GU44" s="56">
        <f t="shared" si="33"/>
        <v>228.17797380465453</v>
      </c>
      <c r="GV44" s="34">
        <f t="shared" si="34"/>
        <v>958.71043134110607</v>
      </c>
      <c r="GW44" s="30">
        <f t="shared" si="35"/>
        <v>272.31008922929146</v>
      </c>
      <c r="GX44" s="30">
        <f t="shared" si="3"/>
        <v>-227.38779332973814</v>
      </c>
      <c r="GY44" s="34">
        <f t="shared" si="36"/>
        <v>354.7647012477882</v>
      </c>
      <c r="GZ44" s="34">
        <f t="shared" si="4"/>
        <v>601.39806276276772</v>
      </c>
      <c r="HA44" s="34">
        <f t="shared" si="4"/>
        <v>1.0451070736864096</v>
      </c>
      <c r="HB44" s="34">
        <f t="shared" si="37"/>
        <v>601.39897085346377</v>
      </c>
      <c r="HC44" s="33">
        <f t="shared" si="5"/>
        <v>0.45213666510277584</v>
      </c>
      <c r="HD44" s="33">
        <f t="shared" si="6"/>
        <v>-0.378884367385456</v>
      </c>
      <c r="HE44" s="33">
        <f t="shared" si="38"/>
        <v>0.58989908270765845</v>
      </c>
      <c r="HF44" s="33">
        <f t="shared" si="39"/>
        <v>0.21902617958149603</v>
      </c>
      <c r="HG44" s="33">
        <f t="shared" si="7"/>
        <v>-0.29877567486631562</v>
      </c>
      <c r="HH44" s="33">
        <f t="shared" si="40"/>
        <v>0.37045832590709593</v>
      </c>
      <c r="HI44" s="30">
        <f t="shared" si="54"/>
        <v>0.20936400277874342</v>
      </c>
      <c r="HJ44" s="30">
        <f t="shared" si="41"/>
        <v>-0.30463821251409007</v>
      </c>
      <c r="HK44" s="33">
        <f t="shared" si="42"/>
        <v>0.36964540600867418</v>
      </c>
      <c r="HL44" s="61">
        <f t="shared" si="43"/>
        <v>0.19937972357107825</v>
      </c>
      <c r="HM44" s="61">
        <f t="shared" si="44"/>
        <v>-0.30988800390451976</v>
      </c>
      <c r="HN44" s="33">
        <f t="shared" si="45"/>
        <v>0.3684872441960606</v>
      </c>
      <c r="HO44" s="30">
        <f t="shared" si="46"/>
        <v>-8.6252128034391973</v>
      </c>
      <c r="HP44" s="30">
        <f t="shared" si="47"/>
        <v>5.3690355557005631E-3</v>
      </c>
      <c r="HQ44" s="29">
        <v>130</v>
      </c>
      <c r="HR44" s="30">
        <v>816.81408993334617</v>
      </c>
      <c r="HS44" s="30">
        <f t="shared" si="48"/>
        <v>-8.6305818389948978</v>
      </c>
      <c r="HT44" s="30">
        <f t="shared" si="49"/>
        <v>-8.671550827531231</v>
      </c>
      <c r="HU44" s="30">
        <f t="shared" si="50"/>
        <v>-4.0968988536333129E-2</v>
      </c>
      <c r="HV44" s="30">
        <f t="shared" si="8"/>
        <v>11.258435284344987</v>
      </c>
      <c r="HW44" s="30">
        <f t="shared" si="9"/>
        <v>11.282055526849517</v>
      </c>
      <c r="HX44" s="73">
        <f t="shared" si="51"/>
        <v>1.3989708534637657</v>
      </c>
      <c r="HY44" s="30">
        <f t="shared" si="52"/>
        <v>11.304773308437021</v>
      </c>
      <c r="HZ44" s="74">
        <f t="shared" si="53"/>
        <v>-2.3620242504529543E-2</v>
      </c>
    </row>
    <row r="45" spans="1:234" ht="15" customHeight="1">
      <c r="AI45" s="65" t="s">
        <v>258</v>
      </c>
      <c r="AJ45" s="104">
        <v>3180</v>
      </c>
      <c r="AK45" s="104"/>
      <c r="AL45" s="104"/>
      <c r="AM45" s="104"/>
      <c r="AN45" s="30" t="s">
        <v>261</v>
      </c>
      <c r="AP45" s="104">
        <f>AJ45/1000000</f>
        <v>3.1800000000000001E-3</v>
      </c>
      <c r="AQ45" s="104"/>
      <c r="AR45" s="104"/>
      <c r="AS45" s="104"/>
      <c r="AT45" s="30" t="s">
        <v>262</v>
      </c>
      <c r="AW45" s="104"/>
      <c r="AX45" s="104"/>
      <c r="AY45" s="111" t="s">
        <v>121</v>
      </c>
      <c r="AZ45" s="111"/>
      <c r="BA45" s="111"/>
      <c r="BB45" s="111"/>
      <c r="BC45" s="111"/>
      <c r="BD45" s="111"/>
      <c r="BE45" s="111"/>
      <c r="BF45" s="111"/>
      <c r="BG45" s="104"/>
      <c r="BH45" s="112" t="s">
        <v>122</v>
      </c>
      <c r="BI45" s="112"/>
      <c r="BJ45" s="112"/>
      <c r="BK45" s="112"/>
      <c r="BL45" s="112"/>
      <c r="BM45" s="112"/>
      <c r="BN45" s="112"/>
      <c r="BO45" s="112"/>
      <c r="BP45" s="112"/>
      <c r="BQ45" s="112"/>
      <c r="BR45" s="112"/>
      <c r="BS45" s="112"/>
      <c r="BT45" s="112"/>
      <c r="BU45" s="112"/>
      <c r="BV45" s="112"/>
      <c r="BW45" s="104"/>
      <c r="BX45" s="112" t="s">
        <v>122</v>
      </c>
      <c r="BY45" s="112"/>
      <c r="BZ45" s="112"/>
      <c r="CA45" s="112"/>
      <c r="CB45" s="112"/>
      <c r="CC45" s="112"/>
      <c r="CD45" s="112"/>
      <c r="CE45" s="112"/>
      <c r="CF45" s="112"/>
      <c r="CG45" s="112"/>
      <c r="CH45" s="112"/>
      <c r="CI45" s="112"/>
      <c r="CJ45" s="112"/>
      <c r="CK45" s="112"/>
      <c r="CL45" s="11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FO45" s="65" t="s">
        <v>215</v>
      </c>
      <c r="FP45" s="30">
        <f>CV21</f>
        <v>0.94196317931199147</v>
      </c>
      <c r="FQ45" s="70" t="s">
        <v>212</v>
      </c>
      <c r="FR45" s="30">
        <f>DC21</f>
        <v>-0.16850274237091112</v>
      </c>
      <c r="FS45" s="30" t="s">
        <v>137</v>
      </c>
      <c r="FT45" s="29">
        <v>150</v>
      </c>
      <c r="FU45" s="27">
        <f t="shared" si="11"/>
        <v>942.47779607693792</v>
      </c>
      <c r="FV45" s="30">
        <f t="shared" si="12"/>
        <v>358.34566804105788</v>
      </c>
      <c r="FW45" s="30">
        <f t="shared" si="13"/>
        <v>215.94785235039404</v>
      </c>
      <c r="FX45" s="34">
        <f t="shared" si="14"/>
        <v>418.38390592676916</v>
      </c>
      <c r="FY45" s="30">
        <f t="shared" si="15"/>
        <v>66.327165979471076</v>
      </c>
      <c r="FZ45" s="30">
        <f t="shared" si="16"/>
        <v>-107.97392617519702</v>
      </c>
      <c r="GA45" s="34">
        <f t="shared" si="17"/>
        <v>126.71882922658023</v>
      </c>
      <c r="GB45" s="34">
        <f t="shared" si="18"/>
        <v>1.7927909113729412</v>
      </c>
      <c r="GC45" s="34">
        <f t="shared" si="19"/>
        <v>21.105453407256746</v>
      </c>
      <c r="GD45" s="34">
        <f t="shared" si="20"/>
        <v>21.181460355173503</v>
      </c>
      <c r="GE45" s="55">
        <f t="shared" si="21"/>
        <v>299.10360454431355</v>
      </c>
      <c r="GF45" s="55">
        <f t="shared" si="22"/>
        <v>-10.552726703628373</v>
      </c>
      <c r="GG45" s="34">
        <f t="shared" si="23"/>
        <v>299.28970295064045</v>
      </c>
      <c r="GH45" s="30">
        <f t="shared" si="24"/>
        <v>191.44037575931114</v>
      </c>
      <c r="GI45" s="30">
        <f t="shared" si="0"/>
        <v>-330.10361546365641</v>
      </c>
      <c r="GJ45" s="34">
        <f t="shared" si="25"/>
        <v>381.59902307663708</v>
      </c>
      <c r="GK45" s="34">
        <f t="shared" si="26"/>
        <v>299.10360454431355</v>
      </c>
      <c r="GL45" s="34">
        <f t="shared" si="27"/>
        <v>-8498.8163582713805</v>
      </c>
      <c r="GM45" s="34">
        <f t="shared" si="28"/>
        <v>8504.0779898747769</v>
      </c>
      <c r="GN45" s="55">
        <f t="shared" si="1"/>
        <v>601.79279091137289</v>
      </c>
      <c r="GO45" s="55">
        <f t="shared" si="2"/>
        <v>21.105453407256746</v>
      </c>
      <c r="GP45" s="34">
        <f t="shared" si="29"/>
        <v>602.16277147995891</v>
      </c>
      <c r="GQ45" s="55">
        <f t="shared" si="30"/>
        <v>600.27236008437558</v>
      </c>
      <c r="GR45" s="55">
        <f t="shared" si="31"/>
        <v>-21.398870745982016</v>
      </c>
      <c r="GS45" s="34">
        <f t="shared" si="32"/>
        <v>600.65365890042619</v>
      </c>
      <c r="GT45" s="56">
        <f t="shared" si="33"/>
        <v>960.4108190368064</v>
      </c>
      <c r="GU45" s="56">
        <f t="shared" si="33"/>
        <v>215.65443501166877</v>
      </c>
      <c r="GV45" s="34">
        <f t="shared" si="34"/>
        <v>984.32503608470279</v>
      </c>
      <c r="GW45" s="30">
        <f t="shared" si="35"/>
        <v>242.81547847400532</v>
      </c>
      <c r="GX45" s="30">
        <f t="shared" si="3"/>
        <v>-215.27093623681859</v>
      </c>
      <c r="GY45" s="34">
        <f t="shared" si="36"/>
        <v>324.50105173147983</v>
      </c>
      <c r="GZ45" s="34">
        <f t="shared" si="4"/>
        <v>601.16114651506314</v>
      </c>
      <c r="HA45" s="34">
        <f t="shared" si="4"/>
        <v>0.67691611357545867</v>
      </c>
      <c r="HB45" s="34">
        <f t="shared" si="37"/>
        <v>601.16152762359138</v>
      </c>
      <c r="HC45" s="33">
        <f t="shared" si="5"/>
        <v>0.40350706984961365</v>
      </c>
      <c r="HD45" s="33">
        <f t="shared" si="6"/>
        <v>-0.35854625323651151</v>
      </c>
      <c r="HE45" s="33">
        <f t="shared" si="38"/>
        <v>0.53979011766478424</v>
      </c>
      <c r="HF45" s="33">
        <f t="shared" si="39"/>
        <v>0.19263200855699023</v>
      </c>
      <c r="HG45" s="33">
        <f t="shared" si="7"/>
        <v>-0.26814415449129125</v>
      </c>
      <c r="HH45" s="33">
        <f t="shared" si="40"/>
        <v>0.33016416872300031</v>
      </c>
      <c r="HI45" s="30">
        <f t="shared" si="54"/>
        <v>0.18266148568087373</v>
      </c>
      <c r="HJ45" s="30">
        <f t="shared" si="41"/>
        <v>-0.274103285320555</v>
      </c>
      <c r="HK45" s="33">
        <f t="shared" si="42"/>
        <v>0.32939008694049315</v>
      </c>
      <c r="HL45" s="61">
        <f t="shared" si="43"/>
        <v>0.17232094348400087</v>
      </c>
      <c r="HM45" s="61">
        <f t="shared" si="44"/>
        <v>-0.27933017040891289</v>
      </c>
      <c r="HN45" s="33">
        <f t="shared" si="45"/>
        <v>0.32820702561628468</v>
      </c>
      <c r="HO45" s="30">
        <f t="shared" si="46"/>
        <v>-9.6254012120309103</v>
      </c>
      <c r="HP45" s="30">
        <f t="shared" si="47"/>
        <v>2.1758724910354132E-2</v>
      </c>
      <c r="HQ45" s="29">
        <v>150</v>
      </c>
      <c r="HR45" s="30">
        <v>942.47779607693792</v>
      </c>
      <c r="HS45" s="30">
        <f t="shared" si="48"/>
        <v>-9.6471599369412644</v>
      </c>
      <c r="HT45" s="30">
        <f t="shared" si="49"/>
        <v>-9.6770425330730614</v>
      </c>
      <c r="HU45" s="30">
        <f t="shared" si="50"/>
        <v>-2.9882596131797001E-2</v>
      </c>
      <c r="HV45" s="30">
        <f t="shared" si="8"/>
        <v>10.252943578803157</v>
      </c>
      <c r="HW45" s="30">
        <f t="shared" si="9"/>
        <v>10.26547742890315</v>
      </c>
      <c r="HX45" s="73">
        <f t="shared" si="51"/>
        <v>1.1615276235913825</v>
      </c>
      <c r="HY45" s="30">
        <f t="shared" si="52"/>
        <v>10.304584899845308</v>
      </c>
      <c r="HZ45" s="74">
        <f t="shared" si="53"/>
        <v>-1.2533850099993415E-2</v>
      </c>
    </row>
    <row r="46" spans="1:234" ht="15" customHeight="1">
      <c r="AI46" s="65" t="s">
        <v>259</v>
      </c>
      <c r="AJ46" s="104">
        <v>318</v>
      </c>
      <c r="AK46" s="104"/>
      <c r="AL46" s="104"/>
      <c r="AM46" s="104"/>
      <c r="AN46" s="30" t="s">
        <v>261</v>
      </c>
      <c r="AP46" s="104">
        <f>AJ46/1000000</f>
        <v>3.1799999999999998E-4</v>
      </c>
      <c r="AQ46" s="104"/>
      <c r="AR46" s="104"/>
      <c r="AS46" s="104"/>
      <c r="AT46" s="30" t="s">
        <v>262</v>
      </c>
      <c r="BE46" s="2"/>
      <c r="BF46" s="2"/>
      <c r="BG46" s="104" t="s">
        <v>33</v>
      </c>
      <c r="BH46" s="110"/>
      <c r="BI46" s="110"/>
      <c r="BJ46" s="110"/>
      <c r="BK46" s="110"/>
      <c r="BL46" s="110"/>
      <c r="BM46" s="110"/>
      <c r="BN46" s="110"/>
      <c r="BO46" s="2"/>
      <c r="BP46" s="2"/>
      <c r="BQ46" s="2"/>
      <c r="BR46" s="2"/>
      <c r="BS46" s="2"/>
      <c r="BT46" s="2"/>
      <c r="BU46" s="2"/>
      <c r="BV46" s="2"/>
      <c r="BW46" s="104" t="s">
        <v>33</v>
      </c>
      <c r="BX46" s="23" t="s">
        <v>304</v>
      </c>
      <c r="BY46" s="23"/>
      <c r="BZ46" s="23"/>
      <c r="CA46" s="23"/>
      <c r="CB46" s="23"/>
      <c r="CC46" s="22"/>
      <c r="CD46" s="22"/>
      <c r="CE46" s="22"/>
      <c r="CF46" s="22"/>
      <c r="CG46" s="22"/>
      <c r="CH46" s="22"/>
      <c r="CI46" s="22"/>
      <c r="CJ46" s="22"/>
      <c r="CK46" s="22"/>
      <c r="CL46" s="22"/>
      <c r="CM46" s="22"/>
      <c r="CN46" s="22"/>
      <c r="CO46" s="22"/>
      <c r="CP46" s="22"/>
      <c r="CQ46" s="109" t="s">
        <v>115</v>
      </c>
      <c r="CR46" s="22" t="s">
        <v>306</v>
      </c>
      <c r="CS46" s="22"/>
      <c r="CT46" s="22"/>
      <c r="CU46" s="22"/>
      <c r="CV46" s="22"/>
      <c r="CW46" s="22"/>
      <c r="CX46" s="22"/>
      <c r="CY46" s="22"/>
      <c r="CZ46" s="22"/>
      <c r="DA46" s="22"/>
      <c r="DB46" s="22"/>
      <c r="DC46" s="22"/>
      <c r="DD46" s="22"/>
      <c r="DE46" s="22"/>
      <c r="DF46" s="22"/>
      <c r="DG46" s="22"/>
      <c r="DH46" s="22"/>
      <c r="DI46" s="22"/>
      <c r="FO46" s="65" t="s">
        <v>216</v>
      </c>
      <c r="FP46" s="30">
        <f>CV27</f>
        <v>0.93991589164241263</v>
      </c>
      <c r="FQ46" s="70" t="s">
        <v>212</v>
      </c>
      <c r="FR46" s="30">
        <f>DC27</f>
        <v>-0.17041098456130085</v>
      </c>
      <c r="FS46" s="30" t="s">
        <v>137</v>
      </c>
      <c r="FT46" s="29">
        <v>170</v>
      </c>
      <c r="FU46" s="27">
        <f t="shared" si="11"/>
        <v>1068.1415022205297</v>
      </c>
      <c r="FV46" s="30">
        <f t="shared" si="12"/>
        <v>381.05170925215629</v>
      </c>
      <c r="FW46" s="30">
        <f t="shared" si="13"/>
        <v>202.84933903101819</v>
      </c>
      <c r="FX46" s="34">
        <f t="shared" si="14"/>
        <v>431.68073789469781</v>
      </c>
      <c r="FY46" s="30">
        <f t="shared" si="15"/>
        <v>54.97414537392185</v>
      </c>
      <c r="FZ46" s="30">
        <f t="shared" si="16"/>
        <v>-101.42466951550909</v>
      </c>
      <c r="GA46" s="34">
        <f t="shared" si="17"/>
        <v>115.36516045116625</v>
      </c>
      <c r="GB46" s="34">
        <f t="shared" si="18"/>
        <v>2.0042573149465546</v>
      </c>
      <c r="GC46" s="34">
        <f t="shared" si="19"/>
        <v>23.911058307203437</v>
      </c>
      <c r="GD46" s="34">
        <f t="shared" si="20"/>
        <v>23.994911059535088</v>
      </c>
      <c r="GE46" s="55">
        <f t="shared" si="21"/>
        <v>298.99787134252676</v>
      </c>
      <c r="GF46" s="55">
        <f t="shared" si="22"/>
        <v>-11.955529153601718</v>
      </c>
      <c r="GG46" s="34">
        <f t="shared" si="23"/>
        <v>299.23679878100688</v>
      </c>
      <c r="GH46" s="30">
        <f t="shared" si="24"/>
        <v>179.17671442444717</v>
      </c>
      <c r="GI46" s="30">
        <f t="shared" si="0"/>
        <v>-297.43633283629345</v>
      </c>
      <c r="GJ46" s="34">
        <f t="shared" si="25"/>
        <v>347.23575144711447</v>
      </c>
      <c r="GK46" s="34">
        <f t="shared" si="26"/>
        <v>298.99787134252676</v>
      </c>
      <c r="GL46" s="34">
        <f t="shared" si="27"/>
        <v>-7501.5999099486771</v>
      </c>
      <c r="GM46" s="34">
        <f t="shared" si="28"/>
        <v>7507.5562559337086</v>
      </c>
      <c r="GN46" s="55">
        <f t="shared" si="1"/>
        <v>602.00425731494659</v>
      </c>
      <c r="GO46" s="55">
        <f t="shared" si="2"/>
        <v>23.911058307203437</v>
      </c>
      <c r="GP46" s="34">
        <f t="shared" si="29"/>
        <v>602.47893285549071</v>
      </c>
      <c r="GQ46" s="55">
        <f t="shared" si="30"/>
        <v>600.05211899553001</v>
      </c>
      <c r="GR46" s="55">
        <f t="shared" si="31"/>
        <v>-24.242657831397171</v>
      </c>
      <c r="GS46" s="34">
        <f t="shared" si="32"/>
        <v>600.54163217028997</v>
      </c>
      <c r="GT46" s="56">
        <f t="shared" si="33"/>
        <v>983.10808556263282</v>
      </c>
      <c r="GU46" s="56">
        <f t="shared" si="33"/>
        <v>202.51773950682446</v>
      </c>
      <c r="GV46" s="34">
        <f t="shared" si="34"/>
        <v>1003.7504384624592</v>
      </c>
      <c r="GW46" s="30">
        <f t="shared" si="35"/>
        <v>219.91012091178405</v>
      </c>
      <c r="GX46" s="30">
        <f t="shared" si="3"/>
        <v>-202.4048161351802</v>
      </c>
      <c r="GY46" s="34">
        <f t="shared" si="36"/>
        <v>298.87818735088644</v>
      </c>
      <c r="GZ46" s="34">
        <f t="shared" si="4"/>
        <v>600.96183016394036</v>
      </c>
      <c r="HA46" s="34">
        <f t="shared" si="4"/>
        <v>0.44452289583799143</v>
      </c>
      <c r="HB46" s="34">
        <f t="shared" si="37"/>
        <v>600.96199456754141</v>
      </c>
      <c r="HC46" s="33">
        <f t="shared" si="5"/>
        <v>0.365680936270384</v>
      </c>
      <c r="HD46" s="33">
        <f t="shared" si="6"/>
        <v>-0.33707193954175785</v>
      </c>
      <c r="HE46" s="33">
        <f t="shared" si="38"/>
        <v>0.49733292629588394</v>
      </c>
      <c r="HF46" s="33">
        <f t="shared" si="39"/>
        <v>0.17390209716200411</v>
      </c>
      <c r="HG46" s="33">
        <f t="shared" si="7"/>
        <v>-0.24236992169310523</v>
      </c>
      <c r="HH46" s="33">
        <f t="shared" si="40"/>
        <v>0.29830373504008473</v>
      </c>
      <c r="HI46" s="30">
        <f t="shared" si="54"/>
        <v>0.16370065826996416</v>
      </c>
      <c r="HJ46" s="30">
        <f t="shared" si="41"/>
        <v>-0.24847532051192994</v>
      </c>
      <c r="HK46" s="33">
        <f t="shared" si="42"/>
        <v>0.29755317242725865</v>
      </c>
      <c r="HL46" s="61">
        <f t="shared" si="43"/>
        <v>0.15307779727589216</v>
      </c>
      <c r="HM46" s="61">
        <f t="shared" si="44"/>
        <v>-0.25372817980496315</v>
      </c>
      <c r="HN46" s="33">
        <f t="shared" si="45"/>
        <v>0.29632887345984166</v>
      </c>
      <c r="HO46" s="30">
        <f t="shared" si="46"/>
        <v>-10.506826176664658</v>
      </c>
      <c r="HP46" s="30">
        <f t="shared" si="47"/>
        <v>3.5547526568679544E-2</v>
      </c>
      <c r="HQ46" s="29">
        <v>170</v>
      </c>
      <c r="HR46" s="30">
        <v>1068.1415022205297</v>
      </c>
      <c r="HS46" s="30">
        <f t="shared" si="48"/>
        <v>-10.542373703233338</v>
      </c>
      <c r="HT46" s="30">
        <f t="shared" si="49"/>
        <v>-10.56452060027736</v>
      </c>
      <c r="HU46" s="30">
        <f t="shared" si="50"/>
        <v>-2.2146897044022396E-2</v>
      </c>
      <c r="HV46" s="30">
        <f t="shared" si="8"/>
        <v>9.3654655115988579</v>
      </c>
      <c r="HW46" s="30">
        <f t="shared" si="9"/>
        <v>9.3702636626110767</v>
      </c>
      <c r="HX46" s="73">
        <f t="shared" si="51"/>
        <v>0.96199456754141011</v>
      </c>
      <c r="HY46" s="30">
        <f t="shared" si="52"/>
        <v>9.4231599352115598</v>
      </c>
      <c r="HZ46" s="74">
        <f t="shared" si="53"/>
        <v>-4.7981510122188098E-3</v>
      </c>
    </row>
    <row r="47" spans="1:234" ht="15" customHeight="1" thickBot="1">
      <c r="X47" s="63"/>
      <c r="Y47" s="63"/>
      <c r="Z47" s="63"/>
      <c r="AI47" s="65" t="s">
        <v>260</v>
      </c>
      <c r="AJ47" s="104">
        <v>75</v>
      </c>
      <c r="AK47" s="104"/>
      <c r="AL47" s="104"/>
      <c r="AM47" s="104"/>
      <c r="AN47" s="30" t="s">
        <v>261</v>
      </c>
      <c r="AP47" s="104">
        <f>AJ47/1000000</f>
        <v>7.4999999999999993E-5</v>
      </c>
      <c r="AQ47" s="104"/>
      <c r="AR47" s="104"/>
      <c r="AS47" s="104"/>
      <c r="AT47" s="30" t="s">
        <v>262</v>
      </c>
      <c r="BE47" s="2"/>
      <c r="BF47" s="2"/>
      <c r="BG47" s="104"/>
      <c r="BH47" s="116">
        <f>(CA40+BC42)^2+(CF40+BH42)^2</f>
        <v>16212020959.220371</v>
      </c>
      <c r="BI47" s="116"/>
      <c r="BJ47" s="116"/>
      <c r="BK47" s="116"/>
      <c r="BL47" s="116"/>
      <c r="BM47" s="116"/>
      <c r="BN47" s="116"/>
      <c r="BO47" s="2"/>
      <c r="BP47" s="2"/>
      <c r="BQ47" s="2"/>
      <c r="BR47" s="2"/>
      <c r="BS47" s="2"/>
      <c r="BT47" s="2"/>
      <c r="BU47" s="2"/>
      <c r="BV47" s="2"/>
      <c r="BW47" s="104"/>
      <c r="BX47" s="112" t="s">
        <v>122</v>
      </c>
      <c r="BY47" s="112"/>
      <c r="BZ47" s="112"/>
      <c r="CA47" s="112"/>
      <c r="CB47" s="112"/>
      <c r="CC47" s="112"/>
      <c r="CD47" s="112"/>
      <c r="CE47" s="112"/>
      <c r="CF47" s="112"/>
      <c r="CG47" s="112"/>
      <c r="CH47" s="112"/>
      <c r="CI47" s="112"/>
      <c r="CJ47" s="112"/>
      <c r="CK47" s="112"/>
      <c r="CL47" s="112"/>
      <c r="CM47" s="22"/>
      <c r="CN47" s="22"/>
      <c r="CO47" s="22"/>
      <c r="CP47" s="22"/>
      <c r="CQ47" s="109"/>
      <c r="CR47" s="112" t="s">
        <v>122</v>
      </c>
      <c r="CS47" s="112"/>
      <c r="CT47" s="112"/>
      <c r="CU47" s="112"/>
      <c r="CV47" s="112"/>
      <c r="CW47" s="112"/>
      <c r="CX47" s="112"/>
      <c r="CY47" s="112"/>
      <c r="CZ47" s="112"/>
      <c r="DA47" s="112"/>
      <c r="DB47" s="112"/>
      <c r="DC47" s="112"/>
      <c r="DD47" s="112"/>
      <c r="DE47" s="112"/>
      <c r="DF47" s="112"/>
      <c r="DG47" s="22"/>
      <c r="DH47" s="22"/>
      <c r="DI47" s="22"/>
      <c r="FT47" s="29">
        <v>200</v>
      </c>
      <c r="FU47" s="27">
        <f t="shared" si="11"/>
        <v>1256.6370614359173</v>
      </c>
      <c r="FV47" s="30">
        <f t="shared" si="12"/>
        <v>406.22011974074775</v>
      </c>
      <c r="FW47" s="30">
        <f t="shared" si="13"/>
        <v>184.01744136206699</v>
      </c>
      <c r="FX47" s="34">
        <f t="shared" si="14"/>
        <v>445.95650506257806</v>
      </c>
      <c r="FY47" s="30">
        <f t="shared" si="15"/>
        <v>42.389940129626154</v>
      </c>
      <c r="FZ47" s="30">
        <f t="shared" si="16"/>
        <v>-92.008720681033495</v>
      </c>
      <c r="GA47" s="34">
        <f t="shared" si="17"/>
        <v>101.30405572114934</v>
      </c>
      <c r="GB47" s="34">
        <f t="shared" si="18"/>
        <v>2.3706650628393864</v>
      </c>
      <c r="GC47" s="34">
        <f t="shared" si="19"/>
        <v>28.113420437359697</v>
      </c>
      <c r="GD47" s="34">
        <f t="shared" si="20"/>
        <v>28.213196584717608</v>
      </c>
      <c r="GE47" s="55">
        <f t="shared" si="21"/>
        <v>298.81466746858035</v>
      </c>
      <c r="GF47" s="55">
        <f t="shared" si="22"/>
        <v>-14.056710218679848</v>
      </c>
      <c r="GG47" s="34">
        <f t="shared" si="23"/>
        <v>299.14510959821854</v>
      </c>
      <c r="GH47" s="30">
        <f t="shared" si="24"/>
        <v>165.70396764414153</v>
      </c>
      <c r="GI47" s="30">
        <f t="shared" si="0"/>
        <v>-258.63097444938938</v>
      </c>
      <c r="GJ47" s="34">
        <f t="shared" si="25"/>
        <v>307.16084685006876</v>
      </c>
      <c r="GK47" s="34">
        <f t="shared" si="26"/>
        <v>298.81466746858035</v>
      </c>
      <c r="GL47" s="34">
        <f t="shared" si="27"/>
        <v>-6380.2544338944936</v>
      </c>
      <c r="GM47" s="34">
        <f t="shared" si="28"/>
        <v>6387.2479869443541</v>
      </c>
      <c r="GN47" s="55">
        <f t="shared" si="1"/>
        <v>602.37066506283941</v>
      </c>
      <c r="GO47" s="55">
        <f t="shared" si="2"/>
        <v>28.113420437359697</v>
      </c>
      <c r="GP47" s="34">
        <f t="shared" si="29"/>
        <v>603.0263531031917</v>
      </c>
      <c r="GQ47" s="55">
        <f t="shared" si="30"/>
        <v>599.67059058119173</v>
      </c>
      <c r="GR47" s="55">
        <f t="shared" si="31"/>
        <v>-28.501630368042797</v>
      </c>
      <c r="GS47" s="34">
        <f t="shared" si="32"/>
        <v>600.34753280215273</v>
      </c>
      <c r="GT47" s="56">
        <f t="shared" si="33"/>
        <v>1008.2613753847788</v>
      </c>
      <c r="GU47" s="56">
        <f t="shared" si="33"/>
        <v>183.62923143138391</v>
      </c>
      <c r="GV47" s="34">
        <f t="shared" si="34"/>
        <v>1024.8466693749299</v>
      </c>
      <c r="GW47" s="30">
        <f t="shared" si="35"/>
        <v>194.51077424988665</v>
      </c>
      <c r="GX47" s="30">
        <f t="shared" si="3"/>
        <v>-183.77960130462222</v>
      </c>
      <c r="GY47" s="34">
        <f t="shared" si="36"/>
        <v>267.59929587907413</v>
      </c>
      <c r="GZ47" s="34">
        <f t="shared" si="4"/>
        <v>600.7308939906344</v>
      </c>
      <c r="HA47" s="34">
        <f t="shared" si="4"/>
        <v>0.23784005744477099</v>
      </c>
      <c r="HB47" s="34">
        <f t="shared" si="37"/>
        <v>600.73094107318934</v>
      </c>
      <c r="HC47" s="33">
        <f t="shared" si="5"/>
        <v>0.32366902401740338</v>
      </c>
      <c r="HD47" s="33">
        <f t="shared" si="6"/>
        <v>-0.30605481523105088</v>
      </c>
      <c r="HE47" s="33">
        <f t="shared" si="38"/>
        <v>0.44545615613042228</v>
      </c>
      <c r="HF47" s="33">
        <f t="shared" si="39"/>
        <v>0.15471039265745096</v>
      </c>
      <c r="HG47" s="33">
        <f t="shared" si="7"/>
        <v>-0.21104907167936485</v>
      </c>
      <c r="HH47" s="33">
        <f t="shared" si="40"/>
        <v>0.26168113469057019</v>
      </c>
      <c r="HI47" s="30">
        <f t="shared" si="54"/>
        <v>0.14424999125598281</v>
      </c>
      <c r="HJ47" s="30">
        <f t="shared" si="41"/>
        <v>-0.21744925181588062</v>
      </c>
      <c r="HK47" s="33">
        <f t="shared" si="42"/>
        <v>0.26094489282727373</v>
      </c>
      <c r="HL47" s="61">
        <f t="shared" si="43"/>
        <v>0.13328326987616895</v>
      </c>
      <c r="HM47" s="61">
        <f t="shared" si="44"/>
        <v>-0.22281397066177139</v>
      </c>
      <c r="HN47" s="33">
        <f t="shared" si="45"/>
        <v>0.25963531260394535</v>
      </c>
      <c r="HO47" s="30">
        <f t="shared" si="46"/>
        <v>-11.644551714195821</v>
      </c>
      <c r="HP47" s="30">
        <f t="shared" si="47"/>
        <v>5.3547420606196994E-2</v>
      </c>
      <c r="HQ47" s="29">
        <v>200</v>
      </c>
      <c r="HR47" s="30">
        <v>1256.6370614359173</v>
      </c>
      <c r="HS47" s="30">
        <f t="shared" si="48"/>
        <v>-11.698099134802018</v>
      </c>
      <c r="HT47" s="30">
        <f t="shared" si="49"/>
        <v>-11.712724802451079</v>
      </c>
      <c r="HU47" s="30">
        <f t="shared" si="50"/>
        <v>-1.4625667649061924E-2</v>
      </c>
      <c r="HV47" s="30">
        <f t="shared" si="8"/>
        <v>8.2172613094251385</v>
      </c>
      <c r="HW47" s="30">
        <f t="shared" si="9"/>
        <v>8.2145382310423969</v>
      </c>
      <c r="HX47" s="73">
        <f t="shared" si="51"/>
        <v>0.73094107318934221</v>
      </c>
      <c r="HY47" s="30">
        <f t="shared" si="52"/>
        <v>8.2854343976803975</v>
      </c>
      <c r="HZ47" s="74">
        <f t="shared" si="53"/>
        <v>2.7230783827416616E-3</v>
      </c>
    </row>
    <row r="48" spans="1:234" ht="15" customHeight="1">
      <c r="BB48" s="108" t="s">
        <v>126</v>
      </c>
      <c r="BC48" s="108"/>
      <c r="BD48" s="108"/>
      <c r="BE48" s="108"/>
      <c r="BF48" s="108"/>
      <c r="BG48" s="108" t="s">
        <v>33</v>
      </c>
      <c r="BH48" s="151">
        <f>BX48/BY49</f>
        <v>601.04471243014996</v>
      </c>
      <c r="BI48" s="152"/>
      <c r="BJ48" s="152"/>
      <c r="BK48" s="153"/>
      <c r="BL48" s="109" t="s">
        <v>115</v>
      </c>
      <c r="BM48" s="151">
        <f>CR48/CR49</f>
        <v>-1.4285304294167549</v>
      </c>
      <c r="BN48" s="152"/>
      <c r="BO48" s="152"/>
      <c r="BP48" s="153"/>
      <c r="BW48" s="104" t="s">
        <v>33</v>
      </c>
      <c r="BX48" s="106">
        <f>(CA40*BC42-CF40*BH42)*(CA40+BC42)+(CF40+BH42)*(CF40*BC42+CA40*BH42)</f>
        <v>9744149475346.1719</v>
      </c>
      <c r="BY48" s="106"/>
      <c r="BZ48" s="106"/>
      <c r="CA48" s="106"/>
      <c r="CB48" s="106"/>
      <c r="CC48" s="106"/>
      <c r="CD48" s="106"/>
      <c r="CE48" s="14"/>
      <c r="CF48" s="14"/>
      <c r="CG48" s="14"/>
      <c r="CH48" s="14"/>
      <c r="CI48" s="14"/>
      <c r="CJ48" s="14"/>
      <c r="CK48" s="14"/>
      <c r="CL48" s="14"/>
      <c r="CM48" s="14"/>
      <c r="CN48" s="14"/>
      <c r="CO48" s="14"/>
      <c r="CP48" s="14"/>
      <c r="CQ48" s="160" t="s">
        <v>115</v>
      </c>
      <c r="CR48" s="106">
        <f>(CF40*BC42+CA40*BH42)*(CA40+BC42)-(CF40+BH42)*(CA40*BC42-CF40*BH42)</f>
        <v>-23159365262.588509</v>
      </c>
      <c r="CS48" s="106"/>
      <c r="CT48" s="106"/>
      <c r="CU48" s="106"/>
      <c r="CV48" s="106"/>
      <c r="CW48" s="106"/>
      <c r="CX48" s="106"/>
      <c r="CY48" s="106"/>
      <c r="CZ48" s="106"/>
      <c r="FO48" s="65" t="s">
        <v>217</v>
      </c>
      <c r="FP48" s="30">
        <f>FP49+FP58</f>
        <v>586.74449939628391</v>
      </c>
      <c r="FQ48" s="70" t="s">
        <v>212</v>
      </c>
      <c r="FR48" s="30">
        <f>FR49+FR58</f>
        <v>5.2832701516469527</v>
      </c>
      <c r="FT48" s="29">
        <v>250</v>
      </c>
      <c r="FU48" s="27">
        <f t="shared" si="11"/>
        <v>1570.7963267948965</v>
      </c>
      <c r="FV48" s="30">
        <f t="shared" si="12"/>
        <v>433.09062037725909</v>
      </c>
      <c r="FW48" s="30">
        <f t="shared" si="13"/>
        <v>157.11770051536556</v>
      </c>
      <c r="FX48" s="34">
        <f t="shared" si="14"/>
        <v>460.70973212424684</v>
      </c>
      <c r="FY48" s="30">
        <f t="shared" si="15"/>
        <v>28.954689811370464</v>
      </c>
      <c r="FZ48" s="30">
        <f t="shared" si="16"/>
        <v>-78.558850257682778</v>
      </c>
      <c r="GA48" s="34">
        <f t="shared" si="17"/>
        <v>83.724948586915872</v>
      </c>
      <c r="GB48" s="34">
        <f t="shared" si="18"/>
        <v>3.1120076305828461</v>
      </c>
      <c r="GC48" s="34">
        <f t="shared" si="19"/>
        <v>35.098183151554558</v>
      </c>
      <c r="GD48" s="34">
        <f t="shared" si="20"/>
        <v>35.235877341608422</v>
      </c>
      <c r="GE48" s="55">
        <f t="shared" si="21"/>
        <v>298.44399618470857</v>
      </c>
      <c r="GF48" s="55">
        <f t="shared" si="22"/>
        <v>-17.549091575777279</v>
      </c>
      <c r="GG48" s="34">
        <f t="shared" si="23"/>
        <v>298.95951142894478</v>
      </c>
      <c r="GH48" s="30">
        <f t="shared" si="24"/>
        <v>151.43577023848607</v>
      </c>
      <c r="GI48" s="30">
        <f t="shared" si="0"/>
        <v>-211.86590755832162</v>
      </c>
      <c r="GJ48" s="34">
        <f t="shared" si="25"/>
        <v>260.42264742766679</v>
      </c>
      <c r="GK48" s="34">
        <f t="shared" si="26"/>
        <v>298.44399618470857</v>
      </c>
      <c r="GL48" s="34">
        <f t="shared" si="27"/>
        <v>-5110.5072705164284</v>
      </c>
      <c r="GM48" s="34">
        <f t="shared" si="28"/>
        <v>5119.2141370390018</v>
      </c>
      <c r="GN48" s="55">
        <f t="shared" si="1"/>
        <v>603.11200763058287</v>
      </c>
      <c r="GO48" s="55">
        <f t="shared" si="2"/>
        <v>35.098183151554558</v>
      </c>
      <c r="GP48" s="34">
        <f t="shared" si="29"/>
        <v>604.13241612144293</v>
      </c>
      <c r="GQ48" s="55">
        <f t="shared" si="30"/>
        <v>598.89897444965072</v>
      </c>
      <c r="GR48" s="55">
        <f t="shared" si="31"/>
        <v>-35.578666685460682</v>
      </c>
      <c r="GS48" s="34">
        <f t="shared" si="32"/>
        <v>599.95485090126454</v>
      </c>
      <c r="GT48" s="56">
        <f t="shared" si="33"/>
        <v>1035.1016024574926</v>
      </c>
      <c r="GU48" s="56">
        <f t="shared" si="33"/>
        <v>156.63721698145943</v>
      </c>
      <c r="GV48" s="34">
        <f t="shared" si="34"/>
        <v>1046.88611852186</v>
      </c>
      <c r="GW48" s="30">
        <f t="shared" si="35"/>
        <v>167.38687976459767</v>
      </c>
      <c r="GX48" s="30">
        <f t="shared" si="3"/>
        <v>-157.04326632847548</v>
      </c>
      <c r="GY48" s="34">
        <f t="shared" si="36"/>
        <v>229.5233212909842</v>
      </c>
      <c r="GZ48" s="34">
        <f t="shared" si="4"/>
        <v>600.47750014185681</v>
      </c>
      <c r="HA48" s="34">
        <f t="shared" si="4"/>
        <v>7.4434186890073306E-2</v>
      </c>
      <c r="HB48" s="34">
        <f t="shared" si="37"/>
        <v>600.47750475522548</v>
      </c>
      <c r="HC48" s="33">
        <f t="shared" si="5"/>
        <v>0.27872386614425482</v>
      </c>
      <c r="HD48" s="33">
        <f t="shared" si="6"/>
        <v>-0.26156519249383031</v>
      </c>
      <c r="HE48" s="33">
        <f t="shared" si="38"/>
        <v>0.38223467069685735</v>
      </c>
      <c r="HF48" s="33">
        <f t="shared" si="39"/>
        <v>0.13583278494266215</v>
      </c>
      <c r="HG48" s="33">
        <f t="shared" si="7"/>
        <v>-0.17280961561936187</v>
      </c>
      <c r="HH48" s="33">
        <f t="shared" si="40"/>
        <v>0.21980379595400781</v>
      </c>
      <c r="HI48" s="30">
        <f t="shared" si="54"/>
        <v>0.1250611604848417</v>
      </c>
      <c r="HJ48" s="30">
        <f t="shared" si="41"/>
        <v>-0.17984416288793437</v>
      </c>
      <c r="HK48" s="33">
        <f t="shared" si="42"/>
        <v>0.21905299994904703</v>
      </c>
      <c r="HL48" s="61">
        <f t="shared" si="43"/>
        <v>0.11361901393090826</v>
      </c>
      <c r="HM48" s="61">
        <f t="shared" si="44"/>
        <v>-0.18552825557693753</v>
      </c>
      <c r="HN48" s="33">
        <f t="shared" si="45"/>
        <v>0.21755462289745389</v>
      </c>
      <c r="HO48" s="30">
        <f t="shared" si="46"/>
        <v>-13.159296233915354</v>
      </c>
      <c r="HP48" s="30">
        <f t="shared" si="47"/>
        <v>8.0993511682798669E-2</v>
      </c>
      <c r="HQ48" s="29">
        <v>250</v>
      </c>
      <c r="HR48" s="30">
        <v>1570.7963267948965</v>
      </c>
      <c r="HS48" s="30">
        <f t="shared" si="48"/>
        <v>-13.240289745598153</v>
      </c>
      <c r="HT48" s="30">
        <f t="shared" si="49"/>
        <v>-13.248633675830403</v>
      </c>
      <c r="HU48" s="30">
        <f t="shared" si="50"/>
        <v>-8.3439302322503295E-3</v>
      </c>
      <c r="HV48" s="30">
        <f t="shared" si="8"/>
        <v>6.681352436045815</v>
      </c>
      <c r="HW48" s="30">
        <f t="shared" si="9"/>
        <v>6.6723476202462617</v>
      </c>
      <c r="HX48" s="73">
        <f t="shared" si="51"/>
        <v>0.47750475522548186</v>
      </c>
      <c r="HY48" s="30">
        <f t="shared" si="52"/>
        <v>6.770689877960864</v>
      </c>
      <c r="HZ48" s="74">
        <f t="shared" si="53"/>
        <v>9.0048157995532563E-3</v>
      </c>
    </row>
    <row r="49" spans="7:234" ht="15" customHeight="1" thickBot="1">
      <c r="BB49" s="108"/>
      <c r="BC49" s="108"/>
      <c r="BD49" s="108"/>
      <c r="BE49" s="108"/>
      <c r="BF49" s="108"/>
      <c r="BG49" s="108"/>
      <c r="BH49" s="159"/>
      <c r="BI49" s="155"/>
      <c r="BJ49" s="155"/>
      <c r="BK49" s="156"/>
      <c r="BL49" s="108"/>
      <c r="BM49" s="159"/>
      <c r="BN49" s="155"/>
      <c r="BO49" s="155"/>
      <c r="BP49" s="166"/>
      <c r="BW49" s="104"/>
      <c r="BX49" s="14"/>
      <c r="BY49" s="108">
        <f>BH47</f>
        <v>16212020959.220371</v>
      </c>
      <c r="BZ49" s="108"/>
      <c r="CA49" s="108"/>
      <c r="CB49" s="108"/>
      <c r="CC49" s="108"/>
      <c r="CD49" s="108"/>
      <c r="CE49" s="14"/>
      <c r="CF49" s="14"/>
      <c r="CG49" s="14"/>
      <c r="CH49" s="14"/>
      <c r="CI49" s="14"/>
      <c r="CJ49" s="14"/>
      <c r="CK49" s="14"/>
      <c r="CL49" s="14"/>
      <c r="CM49" s="14"/>
      <c r="CN49" s="14"/>
      <c r="CO49" s="14"/>
      <c r="CP49" s="14"/>
      <c r="CQ49" s="160"/>
      <c r="CR49" s="108">
        <f>BY49</f>
        <v>16212020959.220371</v>
      </c>
      <c r="CS49" s="108"/>
      <c r="CT49" s="108"/>
      <c r="CU49" s="108"/>
      <c r="CV49" s="108"/>
      <c r="CW49" s="108"/>
      <c r="CX49" s="108"/>
      <c r="CY49" s="108"/>
      <c r="CZ49" s="108"/>
      <c r="FO49" s="65" t="s">
        <v>13</v>
      </c>
      <c r="FP49" s="30">
        <f>CX30</f>
        <v>12.440858812812751</v>
      </c>
      <c r="FQ49" s="70" t="s">
        <v>212</v>
      </c>
      <c r="FR49" s="30">
        <f>DC30</f>
        <v>51.93639601306451</v>
      </c>
      <c r="FT49" s="29">
        <v>300</v>
      </c>
      <c r="FU49" s="27">
        <f t="shared" si="11"/>
        <v>1884.9555921538758</v>
      </c>
      <c r="FV49" s="30">
        <f t="shared" si="12"/>
        <v>449.25979127767215</v>
      </c>
      <c r="FW49" s="30">
        <f t="shared" si="13"/>
        <v>135.89768682463696</v>
      </c>
      <c r="FX49" s="34">
        <f t="shared" si="14"/>
        <v>469.36397533592697</v>
      </c>
      <c r="FY49" s="30">
        <f t="shared" si="15"/>
        <v>20.870104361163907</v>
      </c>
      <c r="FZ49" s="30">
        <f t="shared" si="16"/>
        <v>-67.948843412318482</v>
      </c>
      <c r="GA49" s="34">
        <f t="shared" si="17"/>
        <v>71.081689464429942</v>
      </c>
      <c r="GB49" s="34">
        <f t="shared" si="18"/>
        <v>4.0155990529920702</v>
      </c>
      <c r="GC49" s="34">
        <f t="shared" si="19"/>
        <v>42.0540602471253</v>
      </c>
      <c r="GD49" s="34">
        <f t="shared" si="20"/>
        <v>42.2453431637528</v>
      </c>
      <c r="GE49" s="55">
        <f t="shared" si="21"/>
        <v>297.992200473504</v>
      </c>
      <c r="GF49" s="55">
        <f t="shared" si="22"/>
        <v>-21.02703012356265</v>
      </c>
      <c r="GG49" s="34">
        <f t="shared" si="23"/>
        <v>298.73313766446836</v>
      </c>
      <c r="GH49" s="30">
        <f t="shared" si="24"/>
        <v>142.89867122557928</v>
      </c>
      <c r="GI49" s="30">
        <f t="shared" si="0"/>
        <v>-179.04224746129881</v>
      </c>
      <c r="GJ49" s="34">
        <f t="shared" si="25"/>
        <v>229.0767483050804</v>
      </c>
      <c r="GK49" s="34">
        <f t="shared" si="26"/>
        <v>297.992200473504</v>
      </c>
      <c r="GL49" s="34">
        <f t="shared" si="27"/>
        <v>-4265.1588459074383</v>
      </c>
      <c r="GM49" s="34">
        <f t="shared" si="28"/>
        <v>4275.5560261053197</v>
      </c>
      <c r="GN49" s="55">
        <f t="shared" si="1"/>
        <v>604.01559905299212</v>
      </c>
      <c r="GO49" s="55">
        <f t="shared" si="2"/>
        <v>42.0540602471253</v>
      </c>
      <c r="GP49" s="34">
        <f t="shared" si="29"/>
        <v>605.47781782870766</v>
      </c>
      <c r="GQ49" s="55">
        <f t="shared" si="30"/>
        <v>597.95905387561447</v>
      </c>
      <c r="GR49" s="55">
        <f t="shared" si="31"/>
        <v>-42.623746029941316</v>
      </c>
      <c r="GS49" s="34">
        <f t="shared" si="32"/>
        <v>599.47628296492678</v>
      </c>
      <c r="GT49" s="56">
        <f t="shared" si="33"/>
        <v>1051.2344442062786</v>
      </c>
      <c r="GU49" s="56">
        <f t="shared" si="33"/>
        <v>135.32800104182095</v>
      </c>
      <c r="GV49" s="34">
        <f t="shared" si="34"/>
        <v>1059.9092058056947</v>
      </c>
      <c r="GW49" s="30">
        <f t="shared" si="35"/>
        <v>151.06344865006881</v>
      </c>
      <c r="GX49" s="30">
        <f t="shared" si="3"/>
        <v>-135.89235492642712</v>
      </c>
      <c r="GY49" s="34">
        <f t="shared" si="36"/>
        <v>203.19177553607335</v>
      </c>
      <c r="GZ49" s="34">
        <f t="shared" si="4"/>
        <v>600.32323992774093</v>
      </c>
      <c r="HA49" s="34">
        <f t="shared" si="4"/>
        <v>5.331898209846031E-3</v>
      </c>
      <c r="HB49" s="34">
        <f t="shared" si="37"/>
        <v>600.32323995141917</v>
      </c>
      <c r="HC49" s="33">
        <f t="shared" si="5"/>
        <v>0.25163483875712739</v>
      </c>
      <c r="HD49" s="33">
        <f t="shared" si="6"/>
        <v>-0.22636754264940753</v>
      </c>
      <c r="HE49" s="33">
        <f t="shared" si="38"/>
        <v>0.33847061385215826</v>
      </c>
      <c r="HF49" s="33">
        <f t="shared" si="39"/>
        <v>0.12519312507948627</v>
      </c>
      <c r="HG49" s="33">
        <f t="shared" si="7"/>
        <v>-0.14587898248306785</v>
      </c>
      <c r="HH49" s="33">
        <f t="shared" si="40"/>
        <v>0.19223422197273593</v>
      </c>
      <c r="HI49" s="30">
        <f t="shared" si="54"/>
        <v>0.11417423112747326</v>
      </c>
      <c r="HJ49" s="30">
        <f t="shared" si="41"/>
        <v>-0.15366230858349528</v>
      </c>
      <c r="HK49" s="33">
        <f t="shared" si="42"/>
        <v>0.19143630829275571</v>
      </c>
      <c r="HL49" s="61">
        <f t="shared" si="43"/>
        <v>0.10229184130945178</v>
      </c>
      <c r="HM49" s="61">
        <f t="shared" si="44"/>
        <v>-0.1597627156626597</v>
      </c>
      <c r="HN49" s="33">
        <f t="shared" si="45"/>
        <v>0.18970436503777641</v>
      </c>
      <c r="HO49" s="30">
        <f t="shared" si="46"/>
        <v>-14.323385913898875</v>
      </c>
      <c r="HP49" s="30">
        <f t="shared" si="47"/>
        <v>0.10899306046625057</v>
      </c>
      <c r="HQ49" s="29">
        <v>300</v>
      </c>
      <c r="HR49" s="30">
        <v>1884.9555921538758</v>
      </c>
      <c r="HS49" s="30">
        <f t="shared" si="48"/>
        <v>-14.432378974365125</v>
      </c>
      <c r="HT49" s="30">
        <f t="shared" si="49"/>
        <v>-14.43845352033855</v>
      </c>
      <c r="HU49" s="30">
        <f t="shared" si="50"/>
        <v>-6.0745459734246054E-3</v>
      </c>
      <c r="HV49" s="30">
        <f t="shared" si="8"/>
        <v>5.491532591537668</v>
      </c>
      <c r="HW49" s="30">
        <f t="shared" si="9"/>
        <v>5.4802583914792891</v>
      </c>
      <c r="HX49" s="73">
        <f t="shared" si="51"/>
        <v>0.32323995141916839</v>
      </c>
      <c r="HY49" s="30">
        <f t="shared" si="52"/>
        <v>5.6066001979773432</v>
      </c>
      <c r="HZ49" s="74">
        <f t="shared" si="53"/>
        <v>1.127420005837898E-2</v>
      </c>
    </row>
    <row r="50" spans="7:234" ht="15" customHeight="1">
      <c r="G50" s="30" t="s">
        <v>236</v>
      </c>
      <c r="AW50" s="104" t="s">
        <v>60</v>
      </c>
      <c r="AX50" s="104"/>
      <c r="AY50" s="104" t="s">
        <v>131</v>
      </c>
      <c r="AZ50" s="104"/>
      <c r="BA50" s="104"/>
      <c r="BB50" s="104"/>
      <c r="BC50" s="104" t="s">
        <v>33</v>
      </c>
      <c r="BD50" s="104" t="s">
        <v>132</v>
      </c>
      <c r="BE50" s="104"/>
      <c r="BF50" s="104"/>
      <c r="BG50" s="104"/>
      <c r="BH50" s="104"/>
      <c r="BI50" s="104"/>
      <c r="BJ50" s="104"/>
      <c r="BK50" s="104"/>
      <c r="BL50" s="104"/>
      <c r="BM50" s="104"/>
      <c r="BN50" s="104"/>
      <c r="BO50" s="104" t="s">
        <v>33</v>
      </c>
      <c r="BP50" s="151">
        <f>CX30+AJ34</f>
        <v>612.44085881281273</v>
      </c>
      <c r="BQ50" s="152"/>
      <c r="BR50" s="152"/>
      <c r="BS50" s="152"/>
      <c r="BT50" s="153"/>
      <c r="BU50" s="109" t="s">
        <v>115</v>
      </c>
      <c r="BV50" s="151">
        <f>DC30</f>
        <v>51.93639601306451</v>
      </c>
      <c r="BW50" s="152"/>
      <c r="BX50" s="152"/>
      <c r="BY50" s="152"/>
      <c r="BZ50" s="152"/>
      <c r="CA50" s="153"/>
      <c r="CB50" s="108" t="s">
        <v>33</v>
      </c>
      <c r="CC50" s="108" t="s">
        <v>133</v>
      </c>
      <c r="CD50" s="108"/>
      <c r="CE50" s="108"/>
      <c r="CF50" s="108"/>
      <c r="FO50" s="65" t="s">
        <v>203</v>
      </c>
      <c r="FP50" s="30">
        <f>CU32</f>
        <v>239.27957059359363</v>
      </c>
      <c r="FQ50" s="70" t="s">
        <v>212</v>
      </c>
      <c r="FR50" s="30">
        <f>CZ32</f>
        <v>-25.968198006532255</v>
      </c>
      <c r="FT50" s="29">
        <v>400</v>
      </c>
      <c r="FU50" s="27">
        <f t="shared" si="11"/>
        <v>2513.2741228718346</v>
      </c>
      <c r="FV50" s="30">
        <f t="shared" si="12"/>
        <v>466.60092639819675</v>
      </c>
      <c r="FW50" s="30">
        <f t="shared" si="13"/>
        <v>105.91793906947815</v>
      </c>
      <c r="FX50" s="34">
        <f t="shared" si="14"/>
        <v>478.47156063070361</v>
      </c>
      <c r="FY50" s="30">
        <f t="shared" si="15"/>
        <v>12.19953680090158</v>
      </c>
      <c r="FZ50" s="30">
        <f t="shared" si="16"/>
        <v>-52.958969534739076</v>
      </c>
      <c r="GA50" s="34">
        <f t="shared" si="17"/>
        <v>54.345939612246781</v>
      </c>
      <c r="GB50" s="34">
        <f t="shared" si="18"/>
        <v>6.3033524039922906</v>
      </c>
      <c r="GC50" s="34">
        <f t="shared" si="19"/>
        <v>55.85684132413796</v>
      </c>
      <c r="GD50" s="34">
        <f t="shared" si="20"/>
        <v>56.211377622673879</v>
      </c>
      <c r="GE50" s="55">
        <f t="shared" si="21"/>
        <v>296.84832379800389</v>
      </c>
      <c r="GF50" s="55">
        <f t="shared" si="22"/>
        <v>-27.92842066206898</v>
      </c>
      <c r="GG50" s="34">
        <f t="shared" si="23"/>
        <v>298.15922595546499</v>
      </c>
      <c r="GH50" s="30">
        <f t="shared" si="24"/>
        <v>133.77812735918488</v>
      </c>
      <c r="GI50" s="30">
        <f t="shared" si="0"/>
        <v>-136.28214717677079</v>
      </c>
      <c r="GJ50" s="34">
        <f t="shared" si="25"/>
        <v>190.96965989088764</v>
      </c>
      <c r="GK50" s="34">
        <f t="shared" si="26"/>
        <v>296.84832379800389</v>
      </c>
      <c r="GL50" s="34">
        <f t="shared" si="27"/>
        <v>-3211.0272824999761</v>
      </c>
      <c r="GM50" s="34">
        <f t="shared" si="28"/>
        <v>3224.7193887687135</v>
      </c>
      <c r="GN50" s="55">
        <f t="shared" si="1"/>
        <v>606.30335240399233</v>
      </c>
      <c r="GO50" s="55">
        <f t="shared" si="2"/>
        <v>55.85684132413796</v>
      </c>
      <c r="GP50" s="34">
        <f t="shared" si="29"/>
        <v>608.87087453665379</v>
      </c>
      <c r="GQ50" s="55">
        <f t="shared" si="30"/>
        <v>595.58204113106592</v>
      </c>
      <c r="GR50" s="55">
        <f t="shared" si="31"/>
        <v>-56.59375517490858</v>
      </c>
      <c r="GS50" s="34">
        <f t="shared" si="32"/>
        <v>598.2648417236669</v>
      </c>
      <c r="GT50" s="56">
        <f t="shared" si="33"/>
        <v>1068.4863199332549</v>
      </c>
      <c r="GU50" s="56">
        <f t="shared" si="33"/>
        <v>105.18102521870753</v>
      </c>
      <c r="GV50" s="34">
        <f t="shared" si="34"/>
        <v>1073.6508109951617</v>
      </c>
      <c r="GW50" s="30">
        <f t="shared" si="35"/>
        <v>133.55617756431681</v>
      </c>
      <c r="GX50" s="30">
        <f t="shared" si="3"/>
        <v>-105.95916950072208</v>
      </c>
      <c r="GY50" s="34">
        <f t="shared" si="36"/>
        <v>170.48342490363711</v>
      </c>
      <c r="GZ50" s="34">
        <f t="shared" si="4"/>
        <v>600.15710396251359</v>
      </c>
      <c r="HA50" s="34">
        <f t="shared" si="4"/>
        <v>-4.1230431243931775E-2</v>
      </c>
      <c r="HB50" s="34">
        <f t="shared" si="37"/>
        <v>600.15710537876646</v>
      </c>
      <c r="HC50" s="33">
        <f t="shared" si="5"/>
        <v>0.22254748862118043</v>
      </c>
      <c r="HD50" s="33">
        <f t="shared" si="6"/>
        <v>-0.17653709849015087</v>
      </c>
      <c r="HE50" s="33">
        <f t="shared" si="38"/>
        <v>0.28406466136236602</v>
      </c>
      <c r="HF50" s="33">
        <f t="shared" si="39"/>
        <v>0.11432848269231743</v>
      </c>
      <c r="HG50" s="33">
        <f t="shared" si="7"/>
        <v>-0.11085241255477843</v>
      </c>
      <c r="HH50" s="33">
        <f t="shared" si="40"/>
        <v>0.15924590834285923</v>
      </c>
      <c r="HI50" s="30">
        <f t="shared" si="54"/>
        <v>0.10285529382374457</v>
      </c>
      <c r="HJ50" s="30">
        <f t="shared" si="41"/>
        <v>-0.12031557764962422</v>
      </c>
      <c r="HK50" s="33">
        <f t="shared" si="42"/>
        <v>0.1582878696954747</v>
      </c>
      <c r="HL50" s="61">
        <f t="shared" si="43"/>
        <v>9.005259989428166E-2</v>
      </c>
      <c r="HM50" s="61">
        <f t="shared" si="44"/>
        <v>-0.12736099852775123</v>
      </c>
      <c r="HN50" s="33">
        <f t="shared" si="45"/>
        <v>0.15598171268999911</v>
      </c>
      <c r="HO50" s="30">
        <f t="shared" si="46"/>
        <v>-15.958634351839274</v>
      </c>
      <c r="HP50" s="30">
        <f t="shared" si="47"/>
        <v>0.17352965365131645</v>
      </c>
      <c r="HQ50" s="29">
        <v>400</v>
      </c>
      <c r="HR50" s="30">
        <v>2513.2741228718346</v>
      </c>
      <c r="HS50" s="30">
        <f t="shared" si="48"/>
        <v>-16.132164005490591</v>
      </c>
      <c r="HT50" s="30">
        <f t="shared" si="49"/>
        <v>-16.138526307701667</v>
      </c>
      <c r="HU50" s="30">
        <f t="shared" si="50"/>
        <v>-6.362302211076809E-3</v>
      </c>
      <c r="HV50" s="30">
        <f t="shared" si="8"/>
        <v>3.7914598041745506</v>
      </c>
      <c r="HW50" s="30">
        <f t="shared" si="9"/>
        <v>3.7804733603538239</v>
      </c>
      <c r="HX50" s="73">
        <f t="shared" si="51"/>
        <v>0.15710537876645958</v>
      </c>
      <c r="HY50" s="30">
        <f t="shared" si="52"/>
        <v>3.9713517600369439</v>
      </c>
      <c r="HZ50" s="74">
        <f t="shared" si="53"/>
        <v>1.0986443820726777E-2</v>
      </c>
    </row>
    <row r="51" spans="7:234" ht="15" customHeight="1" thickBot="1">
      <c r="AW51" s="104"/>
      <c r="AX51" s="104"/>
      <c r="AY51" s="104"/>
      <c r="AZ51" s="104"/>
      <c r="BA51" s="104"/>
      <c r="BB51" s="104"/>
      <c r="BC51" s="104"/>
      <c r="BD51" s="104"/>
      <c r="BE51" s="104"/>
      <c r="BF51" s="104"/>
      <c r="BG51" s="104"/>
      <c r="BH51" s="104"/>
      <c r="BI51" s="104"/>
      <c r="BJ51" s="104"/>
      <c r="BK51" s="104"/>
      <c r="BL51" s="104"/>
      <c r="BM51" s="104"/>
      <c r="BN51" s="104"/>
      <c r="BO51" s="104"/>
      <c r="BP51" s="159"/>
      <c r="BQ51" s="155"/>
      <c r="BR51" s="155"/>
      <c r="BS51" s="155"/>
      <c r="BT51" s="156"/>
      <c r="BU51" s="109"/>
      <c r="BV51" s="159"/>
      <c r="BW51" s="155"/>
      <c r="BX51" s="155"/>
      <c r="BY51" s="155"/>
      <c r="BZ51" s="155"/>
      <c r="CA51" s="156"/>
      <c r="CB51" s="108"/>
      <c r="CC51" s="108"/>
      <c r="CD51" s="108"/>
      <c r="CE51" s="108"/>
      <c r="CF51" s="108"/>
      <c r="FO51" s="65" t="s">
        <v>204</v>
      </c>
      <c r="FP51" s="30">
        <f>DN34</f>
        <v>1.0514792564850299</v>
      </c>
      <c r="FQ51" s="70" t="s">
        <v>212</v>
      </c>
      <c r="FR51" s="30">
        <f>DS34</f>
        <v>1.4087738502467937</v>
      </c>
      <c r="FT51" s="29">
        <v>500</v>
      </c>
      <c r="FU51" s="27">
        <f t="shared" si="11"/>
        <v>3141.5926535897929</v>
      </c>
      <c r="FV51" s="30">
        <f t="shared" si="12"/>
        <v>475.09608410421583</v>
      </c>
      <c r="FW51" s="30">
        <f t="shared" si="13"/>
        <v>86.299895147006765</v>
      </c>
      <c r="FX51" s="34">
        <f t="shared" si="14"/>
        <v>482.87054272707968</v>
      </c>
      <c r="FY51" s="30">
        <f t="shared" si="15"/>
        <v>7.9519579478920761</v>
      </c>
      <c r="FZ51" s="30">
        <f t="shared" si="16"/>
        <v>-43.149947573503383</v>
      </c>
      <c r="GA51" s="34">
        <f t="shared" si="17"/>
        <v>43.87654966837222</v>
      </c>
      <c r="GB51" s="34">
        <f t="shared" si="18"/>
        <v>9.2190685777679153</v>
      </c>
      <c r="GC51" s="34">
        <f t="shared" si="19"/>
        <v>69.478152010370096</v>
      </c>
      <c r="GD51" s="34">
        <f t="shared" si="20"/>
        <v>70.087123155524665</v>
      </c>
      <c r="GE51" s="55">
        <f t="shared" si="21"/>
        <v>295.39046571111606</v>
      </c>
      <c r="GF51" s="55">
        <f t="shared" si="22"/>
        <v>-34.739076005185048</v>
      </c>
      <c r="GG51" s="34">
        <f t="shared" si="23"/>
        <v>297.42617678127129</v>
      </c>
      <c r="GH51" s="30">
        <f t="shared" si="24"/>
        <v>129.32226233283203</v>
      </c>
      <c r="GI51" s="30">
        <f t="shared" si="0"/>
        <v>-109.80964674730555</v>
      </c>
      <c r="GJ51" s="34">
        <f t="shared" si="25"/>
        <v>169.65378290403623</v>
      </c>
      <c r="GK51" s="34">
        <f t="shared" si="26"/>
        <v>295.39046571111606</v>
      </c>
      <c r="GL51" s="34">
        <f t="shared" si="27"/>
        <v>-2581.2181654755104</v>
      </c>
      <c r="GM51" s="34">
        <f t="shared" si="28"/>
        <v>2598.0651926027163</v>
      </c>
      <c r="GN51" s="55">
        <f t="shared" si="1"/>
        <v>609.21906857776787</v>
      </c>
      <c r="GO51" s="55">
        <f t="shared" si="2"/>
        <v>69.478152010370096</v>
      </c>
      <c r="GP51" s="34">
        <f t="shared" si="29"/>
        <v>613.16807412449248</v>
      </c>
      <c r="GQ51" s="55">
        <f t="shared" si="30"/>
        <v>592.55797229070299</v>
      </c>
      <c r="GR51" s="55">
        <f t="shared" si="31"/>
        <v>-70.36469457247658</v>
      </c>
      <c r="GS51" s="34">
        <f t="shared" si="32"/>
        <v>596.72115830389953</v>
      </c>
      <c r="GT51" s="56">
        <f t="shared" si="33"/>
        <v>1076.8731249726868</v>
      </c>
      <c r="GU51" s="56">
        <f t="shared" si="33"/>
        <v>85.413352584900295</v>
      </c>
      <c r="GV51" s="34">
        <f t="shared" si="34"/>
        <v>1080.2551402739227</v>
      </c>
      <c r="GW51" s="30">
        <f t="shared" si="35"/>
        <v>124.97935640743786</v>
      </c>
      <c r="GX51" s="30">
        <f t="shared" si="3"/>
        <v>-86.350998692453814</v>
      </c>
      <c r="GY51" s="34">
        <f t="shared" si="36"/>
        <v>151.90896781691836</v>
      </c>
      <c r="GZ51" s="34">
        <f t="shared" si="4"/>
        <v>600.07544051165371</v>
      </c>
      <c r="HA51" s="34">
        <f t="shared" si="4"/>
        <v>-5.1103545447048759E-2</v>
      </c>
      <c r="HB51" s="34">
        <f t="shared" si="37"/>
        <v>600.07544268769038</v>
      </c>
      <c r="HC51" s="33">
        <f t="shared" si="5"/>
        <v>0.20828499364471187</v>
      </c>
      <c r="HD51" s="33">
        <f t="shared" si="6"/>
        <v>-0.14388250003565742</v>
      </c>
      <c r="HE51" s="33">
        <f t="shared" si="38"/>
        <v>0.25314978252822701</v>
      </c>
      <c r="HF51" s="33">
        <f t="shared" si="39"/>
        <v>0.10919722109125249</v>
      </c>
      <c r="HG51" s="33">
        <f t="shared" si="7"/>
        <v>-8.9236825707694672E-2</v>
      </c>
      <c r="HH51" s="33">
        <f t="shared" si="40"/>
        <v>0.14102214066038479</v>
      </c>
      <c r="HI51" s="30">
        <f t="shared" si="54"/>
        <v>9.7238097829648124E-2</v>
      </c>
      <c r="HJ51" s="30">
        <f t="shared" si="41"/>
        <v>-0.10049472111066024</v>
      </c>
      <c r="HK51" s="33">
        <f t="shared" si="42"/>
        <v>0.13983717903561127</v>
      </c>
      <c r="HL51" s="61">
        <f t="shared" si="43"/>
        <v>8.3394540228731329E-2</v>
      </c>
      <c r="HM51" s="61">
        <f t="shared" si="44"/>
        <v>-0.10848467262118576</v>
      </c>
      <c r="HN51" s="33">
        <f t="shared" si="45"/>
        <v>0.1368341095403019</v>
      </c>
      <c r="HO51" s="30">
        <f t="shared" si="46"/>
        <v>-17.014253943805446</v>
      </c>
      <c r="HP51" s="30">
        <f t="shared" si="47"/>
        <v>0.25317798797037838</v>
      </c>
      <c r="HQ51" s="29">
        <v>500</v>
      </c>
      <c r="HR51" s="30">
        <v>3141.5926535897929</v>
      </c>
      <c r="HS51" s="30">
        <f t="shared" si="48"/>
        <v>-17.267431931775825</v>
      </c>
      <c r="HT51" s="30">
        <f t="shared" si="49"/>
        <v>-17.276112593452563</v>
      </c>
      <c r="HU51" s="30">
        <f t="shared" si="50"/>
        <v>-8.6806616767383105E-3</v>
      </c>
      <c r="HV51" s="30">
        <f t="shared" si="8"/>
        <v>2.653873518423655</v>
      </c>
      <c r="HW51" s="30">
        <f t="shared" si="9"/>
        <v>2.6452054340685898</v>
      </c>
      <c r="HX51" s="73">
        <f t="shared" si="51"/>
        <v>7.5442687690383536E-2</v>
      </c>
      <c r="HY51" s="30">
        <f t="shared" si="52"/>
        <v>2.9157321680707717</v>
      </c>
      <c r="HZ51" s="74">
        <f t="shared" si="53"/>
        <v>8.6680843550652753E-3</v>
      </c>
    </row>
    <row r="52" spans="7:234" ht="15" customHeight="1">
      <c r="G52" s="30" t="s">
        <v>237</v>
      </c>
      <c r="FO52" s="65" t="s">
        <v>205</v>
      </c>
      <c r="FP52" s="30">
        <f>CQ36</f>
        <v>299.47426037175751</v>
      </c>
      <c r="FQ52" s="70" t="s">
        <v>212</v>
      </c>
      <c r="FR52" s="30">
        <f>CV36</f>
        <v>-0.70438692512339685</v>
      </c>
      <c r="FT52" s="29">
        <v>600</v>
      </c>
      <c r="FU52" s="27">
        <f t="shared" si="11"/>
        <v>3769.9111843077517</v>
      </c>
      <c r="FV52" s="30">
        <f t="shared" si="12"/>
        <v>479.84364550190378</v>
      </c>
      <c r="FW52" s="30">
        <f t="shared" si="13"/>
        <v>72.64567265452618</v>
      </c>
      <c r="FX52" s="34">
        <f t="shared" si="14"/>
        <v>485.3115678448076</v>
      </c>
      <c r="FY52" s="30">
        <f t="shared" si="15"/>
        <v>5.5781772490481174</v>
      </c>
      <c r="FZ52" s="30">
        <f t="shared" si="16"/>
        <v>-36.32283632726309</v>
      </c>
      <c r="GA52" s="34">
        <f t="shared" si="17"/>
        <v>36.748666646273598</v>
      </c>
      <c r="GB52" s="34">
        <f t="shared" si="18"/>
        <v>12.744061442659097</v>
      </c>
      <c r="GC52" s="34">
        <f t="shared" si="19"/>
        <v>82.876318847708959</v>
      </c>
      <c r="GD52" s="34">
        <f t="shared" si="20"/>
        <v>83.850434273183041</v>
      </c>
      <c r="GE52" s="55">
        <f t="shared" si="21"/>
        <v>293.62796927867049</v>
      </c>
      <c r="GF52" s="55">
        <f t="shared" si="22"/>
        <v>-41.438159423854479</v>
      </c>
      <c r="GG52" s="34">
        <f t="shared" si="23"/>
        <v>296.53752780913351</v>
      </c>
      <c r="GH52" s="30">
        <f t="shared" si="24"/>
        <v>126.83533549668023</v>
      </c>
      <c r="GI52" s="30">
        <f t="shared" si="0"/>
        <v>-91.873109424891851</v>
      </c>
      <c r="GJ52" s="34">
        <f t="shared" si="25"/>
        <v>156.61376237723678</v>
      </c>
      <c r="GK52" s="34">
        <f t="shared" si="26"/>
        <v>293.62796927867049</v>
      </c>
      <c r="GL52" s="34">
        <f t="shared" si="27"/>
        <v>-2163.5040673157923</v>
      </c>
      <c r="GM52" s="34">
        <f t="shared" si="28"/>
        <v>2183.3385522256258</v>
      </c>
      <c r="GN52" s="55">
        <f t="shared" si="1"/>
        <v>612.74406144265913</v>
      </c>
      <c r="GO52" s="55">
        <f t="shared" si="2"/>
        <v>82.876318847708959</v>
      </c>
      <c r="GP52" s="34">
        <f t="shared" si="29"/>
        <v>618.32335315673811</v>
      </c>
      <c r="GQ52" s="55">
        <f t="shared" si="30"/>
        <v>588.90958332122682</v>
      </c>
      <c r="GR52" s="55">
        <f t="shared" si="31"/>
        <v>-83.892530854919656</v>
      </c>
      <c r="GS52" s="34">
        <f t="shared" si="32"/>
        <v>594.85498574091537</v>
      </c>
      <c r="GT52" s="56">
        <f t="shared" si="33"/>
        <v>1081.4972902657896</v>
      </c>
      <c r="GU52" s="56">
        <f t="shared" si="33"/>
        <v>71.629460647315497</v>
      </c>
      <c r="GV52" s="34">
        <f t="shared" si="34"/>
        <v>1083.8667669436456</v>
      </c>
      <c r="GW52" s="30">
        <f t="shared" si="35"/>
        <v>120.18590407260047</v>
      </c>
      <c r="GX52" s="30">
        <f t="shared" si="3"/>
        <v>-72.697177180971835</v>
      </c>
      <c r="GY52" s="34">
        <f t="shared" si="36"/>
        <v>140.46184929663264</v>
      </c>
      <c r="GZ52" s="34">
        <f t="shared" si="4"/>
        <v>600.02954957450424</v>
      </c>
      <c r="HA52" s="34">
        <f t="shared" si="4"/>
        <v>-5.1504526445654619E-2</v>
      </c>
      <c r="HB52" s="34">
        <f t="shared" si="37"/>
        <v>600.02955178499224</v>
      </c>
      <c r="HC52" s="33">
        <f t="shared" si="5"/>
        <v>0.20031037363813017</v>
      </c>
      <c r="HD52" s="33">
        <f t="shared" si="6"/>
        <v>-0.12113880115000919</v>
      </c>
      <c r="HE52" s="33">
        <f t="shared" si="38"/>
        <v>0.23409155245567659</v>
      </c>
      <c r="HF52" s="33">
        <f t="shared" si="39"/>
        <v>0.10637936405821817</v>
      </c>
      <c r="HG52" s="33">
        <f t="shared" si="7"/>
        <v>-7.4625296095518198E-2</v>
      </c>
      <c r="HH52" s="33">
        <f t="shared" si="40"/>
        <v>0.12994423386504952</v>
      </c>
      <c r="HI52" s="30">
        <f t="shared" si="54"/>
        <v>9.3868729682708624E-2</v>
      </c>
      <c r="HJ52" s="30">
        <f t="shared" si="41"/>
        <v>-8.7719231886182886E-2</v>
      </c>
      <c r="HK52" s="33">
        <f t="shared" si="42"/>
        <v>0.12847568662960065</v>
      </c>
      <c r="HL52" s="61">
        <f t="shared" si="43"/>
        <v>7.8856190020899344E-2</v>
      </c>
      <c r="HM52" s="61">
        <f t="shared" si="44"/>
        <v>-9.6560462356327828E-2</v>
      </c>
      <c r="HN52" s="33">
        <f t="shared" si="45"/>
        <v>0.12466844666987709</v>
      </c>
      <c r="HO52" s="30">
        <f t="shared" si="46"/>
        <v>-17.724859741674251</v>
      </c>
      <c r="HP52" s="30">
        <f t="shared" si="47"/>
        <v>0.34882485034736987</v>
      </c>
      <c r="HQ52" s="29">
        <v>600</v>
      </c>
      <c r="HR52" s="30">
        <v>3769.9111843077517</v>
      </c>
      <c r="HS52" s="30">
        <f t="shared" si="48"/>
        <v>-18.073684592021621</v>
      </c>
      <c r="HT52" s="30">
        <f t="shared" si="49"/>
        <v>-18.084869033262795</v>
      </c>
      <c r="HU52" s="30">
        <f t="shared" si="50"/>
        <v>-1.118444124117346E-2</v>
      </c>
      <c r="HV52" s="30">
        <f t="shared" si="8"/>
        <v>1.8451170786134234</v>
      </c>
      <c r="HW52" s="30">
        <f t="shared" si="9"/>
        <v>1.8389527738227933</v>
      </c>
      <c r="HX52" s="73">
        <f t="shared" si="51"/>
        <v>2.9551784992236207E-2</v>
      </c>
      <c r="HY52" s="30">
        <f t="shared" si="52"/>
        <v>2.2051263702019668</v>
      </c>
      <c r="HZ52" s="74">
        <f t="shared" si="53"/>
        <v>6.1643047906301263E-3</v>
      </c>
    </row>
    <row r="53" spans="7:234" ht="15" customHeight="1">
      <c r="G53" s="30" t="s">
        <v>238</v>
      </c>
      <c r="FO53" s="65" t="s">
        <v>206</v>
      </c>
      <c r="FP53" s="30">
        <f>CK38</f>
        <v>1219.7608692383333</v>
      </c>
      <c r="FQ53" s="70" t="s">
        <v>212</v>
      </c>
      <c r="FR53" s="30">
        <f>CP38</f>
        <v>-3120.3287912497999</v>
      </c>
      <c r="FT53" s="29">
        <v>700</v>
      </c>
      <c r="FU53" s="27">
        <f t="shared" si="11"/>
        <v>4398.22971502571</v>
      </c>
      <c r="FV53" s="30">
        <f t="shared" si="12"/>
        <v>482.75308190297847</v>
      </c>
      <c r="FW53" s="30">
        <f t="shared" si="13"/>
        <v>62.650698130678755</v>
      </c>
      <c r="FX53" s="34">
        <f t="shared" si="14"/>
        <v>486.80144624177655</v>
      </c>
      <c r="FY53" s="30">
        <f t="shared" si="15"/>
        <v>4.1234590485107709</v>
      </c>
      <c r="FZ53" s="30">
        <f t="shared" si="16"/>
        <v>-31.325349065339378</v>
      </c>
      <c r="GA53" s="34">
        <f t="shared" si="17"/>
        <v>31.595575775575035</v>
      </c>
      <c r="GB53" s="34">
        <f t="shared" si="18"/>
        <v>16.85610939254483</v>
      </c>
      <c r="GC53" s="34">
        <f t="shared" si="19"/>
        <v>96.012008527779315</v>
      </c>
      <c r="GD53" s="34">
        <f t="shared" si="20"/>
        <v>97.48042985846854</v>
      </c>
      <c r="GE53" s="55">
        <f t="shared" si="21"/>
        <v>291.5719453037276</v>
      </c>
      <c r="GF53" s="55">
        <f t="shared" si="22"/>
        <v>-48.006004263889658</v>
      </c>
      <c r="GG53" s="34">
        <f t="shared" si="23"/>
        <v>295.49750546084903</v>
      </c>
      <c r="GH53" s="30">
        <f t="shared" si="24"/>
        <v>125.3123927127848</v>
      </c>
      <c r="GI53" s="30">
        <f t="shared" si="0"/>
        <v>-78.940139575839467</v>
      </c>
      <c r="GJ53" s="34">
        <f t="shared" si="25"/>
        <v>148.10381967949448</v>
      </c>
      <c r="GK53" s="34">
        <f t="shared" si="26"/>
        <v>291.5719453037276</v>
      </c>
      <c r="GL53" s="34">
        <f t="shared" si="27"/>
        <v>-1866.9196395998367</v>
      </c>
      <c r="GM53" s="34">
        <f t="shared" si="28"/>
        <v>1889.5510419175725</v>
      </c>
      <c r="GN53" s="55">
        <f t="shared" si="1"/>
        <v>616.85610939254479</v>
      </c>
      <c r="GO53" s="55">
        <f t="shared" si="2"/>
        <v>96.012008527779315</v>
      </c>
      <c r="GP53" s="34">
        <f t="shared" si="29"/>
        <v>624.28340157050911</v>
      </c>
      <c r="GQ53" s="55">
        <f t="shared" si="30"/>
        <v>584.66333878520459</v>
      </c>
      <c r="GR53" s="55">
        <f t="shared" si="31"/>
        <v>-97.136596138966013</v>
      </c>
      <c r="GS53" s="34">
        <f t="shared" si="32"/>
        <v>592.67760041098859</v>
      </c>
      <c r="GT53" s="56">
        <f t="shared" si="33"/>
        <v>1084.2725300807278</v>
      </c>
      <c r="GU53" s="56">
        <f t="shared" si="33"/>
        <v>61.52611051949205</v>
      </c>
      <c r="GV53" s="34">
        <f t="shared" si="34"/>
        <v>1086.0167502222603</v>
      </c>
      <c r="GW53" s="30">
        <f t="shared" si="35"/>
        <v>117.24809099583022</v>
      </c>
      <c r="GX53" s="30">
        <f t="shared" si="3"/>
        <v>-62.69992097847647</v>
      </c>
      <c r="GY53" s="34">
        <f t="shared" si="36"/>
        <v>132.96012534919512</v>
      </c>
      <c r="GZ53" s="34">
        <f t="shared" si="4"/>
        <v>600.0011728988087</v>
      </c>
      <c r="HA53" s="34">
        <f t="shared" si="4"/>
        <v>-4.9222847797715019E-2</v>
      </c>
      <c r="HB53" s="34">
        <f t="shared" si="37"/>
        <v>600.00117491787876</v>
      </c>
      <c r="HC53" s="33">
        <f t="shared" si="5"/>
        <v>0.19542167461316276</v>
      </c>
      <c r="HD53" s="33">
        <f t="shared" si="6"/>
        <v>-0.10448363203067178</v>
      </c>
      <c r="HE53" s="33">
        <f t="shared" si="38"/>
        <v>0.22159977497942926</v>
      </c>
      <c r="HF53" s="33">
        <f t="shared" si="39"/>
        <v>0.10466763098216093</v>
      </c>
      <c r="HG53" s="33">
        <f t="shared" si="7"/>
        <v>-6.4106113343451329E-2</v>
      </c>
      <c r="HH53" s="33">
        <f t="shared" si="40"/>
        <v>0.12273918177754504</v>
      </c>
      <c r="HI53" s="30">
        <f t="shared" si="54"/>
        <v>9.1530150016186973E-2</v>
      </c>
      <c r="HJ53" s="30">
        <f t="shared" si="41"/>
        <v>-7.9040865818612374E-2</v>
      </c>
      <c r="HK53" s="33">
        <f t="shared" si="42"/>
        <v>0.12093480405301683</v>
      </c>
      <c r="HL53" s="61">
        <f t="shared" si="43"/>
        <v>7.5239918955128091E-2</v>
      </c>
      <c r="HM53" s="61">
        <f t="shared" si="44"/>
        <v>-8.8591900768126008E-2</v>
      </c>
      <c r="HN53" s="33">
        <f t="shared" si="45"/>
        <v>0.11623067704390148</v>
      </c>
      <c r="HO53" s="30">
        <f t="shared" si="46"/>
        <v>-18.220335524036948</v>
      </c>
      <c r="HP53" s="30">
        <f t="shared" si="47"/>
        <v>0.45990055054006618</v>
      </c>
      <c r="HQ53" s="29">
        <v>700</v>
      </c>
      <c r="HR53" s="30">
        <v>4398.22971502571</v>
      </c>
      <c r="HS53" s="30">
        <f t="shared" si="48"/>
        <v>-18.680236074577014</v>
      </c>
      <c r="HT53" s="30">
        <f t="shared" si="49"/>
        <v>-18.693584648455236</v>
      </c>
      <c r="HU53" s="30">
        <f t="shared" si="50"/>
        <v>-1.334857387822197E-2</v>
      </c>
      <c r="HV53" s="30">
        <f t="shared" si="8"/>
        <v>1.2364014634209823</v>
      </c>
      <c r="HW53" s="30">
        <f t="shared" si="9"/>
        <v>1.2324012912674007</v>
      </c>
      <c r="HX53" s="73">
        <f t="shared" si="51"/>
        <v>1.1749178787567871E-3</v>
      </c>
      <c r="HY53" s="30">
        <f t="shared" si="52"/>
        <v>1.7096505878392705</v>
      </c>
      <c r="HZ53" s="74">
        <f t="shared" si="53"/>
        <v>4.0001721535816159E-3</v>
      </c>
    </row>
    <row r="54" spans="7:234" ht="15" customHeight="1">
      <c r="AW54" s="104" t="s">
        <v>127</v>
      </c>
      <c r="AX54" s="104"/>
      <c r="AY54" s="104" t="s">
        <v>33</v>
      </c>
      <c r="AZ54" s="23" t="s">
        <v>128</v>
      </c>
      <c r="BA54" s="23"/>
      <c r="BB54" s="23"/>
      <c r="BC54" s="23"/>
      <c r="BD54" s="23"/>
      <c r="BE54" s="22"/>
      <c r="BF54" s="22"/>
      <c r="BG54" s="22"/>
      <c r="BH54" s="22"/>
      <c r="BI54" s="22"/>
      <c r="BJ54" s="22"/>
      <c r="BK54" s="22"/>
      <c r="BL54" s="22"/>
      <c r="BM54" s="22"/>
      <c r="BN54" s="22"/>
      <c r="BO54" s="22"/>
      <c r="BP54" s="22"/>
      <c r="BQ54" s="22"/>
      <c r="BR54" s="22"/>
      <c r="BS54" s="109" t="s">
        <v>115</v>
      </c>
      <c r="BT54" s="22" t="s">
        <v>129</v>
      </c>
      <c r="BU54" s="22"/>
      <c r="BV54" s="22"/>
      <c r="BW54" s="22"/>
      <c r="BX54" s="22"/>
      <c r="BY54" s="22"/>
      <c r="BZ54" s="22"/>
      <c r="CA54" s="22"/>
      <c r="CB54" s="22"/>
      <c r="CC54" s="22"/>
      <c r="CD54" s="22"/>
      <c r="CE54" s="22"/>
      <c r="CF54" s="22"/>
      <c r="CG54" s="22"/>
      <c r="CH54" s="22"/>
      <c r="CI54" s="22"/>
      <c r="CJ54" s="22"/>
      <c r="CK54" s="22"/>
      <c r="FO54" s="65" t="s">
        <v>207</v>
      </c>
      <c r="FP54" s="30">
        <f>CA40</f>
        <v>299.47426037175751</v>
      </c>
      <c r="FQ54" s="70" t="s">
        <v>212</v>
      </c>
      <c r="FR54" s="30">
        <f>CF40</f>
        <v>-127324.65886044141</v>
      </c>
      <c r="FT54" s="29">
        <v>800</v>
      </c>
      <c r="FU54" s="27">
        <f t="shared" si="11"/>
        <v>5026.5482457436692</v>
      </c>
      <c r="FV54" s="30">
        <f t="shared" si="12"/>
        <v>484.66064712616759</v>
      </c>
      <c r="FW54" s="30">
        <f t="shared" si="13"/>
        <v>55.039072580270975</v>
      </c>
      <c r="FX54" s="34">
        <f t="shared" si="14"/>
        <v>487.77581160124362</v>
      </c>
      <c r="FY54" s="30">
        <f t="shared" si="15"/>
        <v>3.1696764369162356</v>
      </c>
      <c r="FZ54" s="30">
        <f t="shared" si="16"/>
        <v>-27.519536290135488</v>
      </c>
      <c r="GA54" s="34">
        <f t="shared" si="17"/>
        <v>27.701475165391933</v>
      </c>
      <c r="GB54" s="34">
        <f t="shared" si="18"/>
        <v>21.529796708033484</v>
      </c>
      <c r="GC54" s="34">
        <f t="shared" si="19"/>
        <v>108.84857944492958</v>
      </c>
      <c r="GD54" s="34">
        <f t="shared" si="20"/>
        <v>110.95740350904214</v>
      </c>
      <c r="GE54" s="55">
        <f t="shared" si="21"/>
        <v>289.23510164598332</v>
      </c>
      <c r="GF54" s="55">
        <f t="shared" si="22"/>
        <v>-54.424289722464792</v>
      </c>
      <c r="GG54" s="34">
        <f t="shared" si="23"/>
        <v>294.310970464842</v>
      </c>
      <c r="GH54" s="30">
        <f t="shared" si="24"/>
        <v>124.31432930741113</v>
      </c>
      <c r="GI54" s="30">
        <f t="shared" si="0"/>
        <v>-69.182631728254435</v>
      </c>
      <c r="GJ54" s="34">
        <f t="shared" si="25"/>
        <v>142.2683696539703</v>
      </c>
      <c r="GK54" s="34">
        <f t="shared" si="26"/>
        <v>289.23510164598332</v>
      </c>
      <c r="GL54" s="34">
        <f t="shared" si="27"/>
        <v>-1645.9737206414184</v>
      </c>
      <c r="GM54" s="34">
        <f t="shared" si="28"/>
        <v>1671.1931166284512</v>
      </c>
      <c r="GN54" s="55">
        <f t="shared" si="1"/>
        <v>621.52979670803347</v>
      </c>
      <c r="GO54" s="55">
        <f t="shared" si="2"/>
        <v>108.84857944492958</v>
      </c>
      <c r="GP54" s="34">
        <f t="shared" si="29"/>
        <v>630.98914526567614</v>
      </c>
      <c r="GQ54" s="55">
        <f t="shared" si="30"/>
        <v>579.84882129005928</v>
      </c>
      <c r="GR54" s="55">
        <f t="shared" si="31"/>
        <v>-110.0598858391534</v>
      </c>
      <c r="GS54" s="34">
        <f t="shared" si="32"/>
        <v>590.20151984080701</v>
      </c>
      <c r="GT54" s="56">
        <f t="shared" si="33"/>
        <v>1086.0392651242603</v>
      </c>
      <c r="GU54" s="56">
        <f t="shared" si="33"/>
        <v>53.827766186047171</v>
      </c>
      <c r="GV54" s="34">
        <f t="shared" si="34"/>
        <v>1087.3723896642875</v>
      </c>
      <c r="GW54" s="30">
        <f t="shared" si="35"/>
        <v>115.32168619756607</v>
      </c>
      <c r="GX54" s="30">
        <f t="shared" si="3"/>
        <v>-55.085342986586923</v>
      </c>
      <c r="GY54" s="34">
        <f t="shared" si="36"/>
        <v>127.80252861113438</v>
      </c>
      <c r="GZ54" s="34">
        <f t="shared" si="4"/>
        <v>599.98233332373366</v>
      </c>
      <c r="HA54" s="34">
        <f t="shared" si="4"/>
        <v>-4.627040631594781E-2</v>
      </c>
      <c r="HB54" s="34">
        <f t="shared" si="37"/>
        <v>599.98233510791169</v>
      </c>
      <c r="HC54" s="33">
        <f t="shared" si="5"/>
        <v>0.19221554913662339</v>
      </c>
      <c r="HD54" s="33">
        <f t="shared" si="6"/>
        <v>-9.1796784731843786E-2</v>
      </c>
      <c r="HE54" s="33">
        <f t="shared" si="38"/>
        <v>0.2130104856972965</v>
      </c>
      <c r="HF54" s="33">
        <f t="shared" si="39"/>
        <v>0.10354984815724054</v>
      </c>
      <c r="HG54" s="33">
        <f t="shared" si="7"/>
        <v>-5.6177814593720996E-2</v>
      </c>
      <c r="HH54" s="33">
        <f t="shared" si="40"/>
        <v>0.11780712162647071</v>
      </c>
      <c r="HI54" s="30">
        <f t="shared" si="54"/>
        <v>8.9708348104528116E-2</v>
      </c>
      <c r="HJ54" s="30">
        <f t="shared" si="41"/>
        <v>-7.293684616191827E-2</v>
      </c>
      <c r="HK54" s="33">
        <f t="shared" si="42"/>
        <v>0.11561734838548463</v>
      </c>
      <c r="HL54" s="61">
        <f t="shared" si="43"/>
        <v>7.2059771486360807E-2</v>
      </c>
      <c r="HM54" s="61">
        <f t="shared" si="44"/>
        <v>-8.3030148726416717E-2</v>
      </c>
      <c r="HN54" s="33">
        <f t="shared" si="45"/>
        <v>0.1099391480056009</v>
      </c>
      <c r="HO54" s="30">
        <f t="shared" si="46"/>
        <v>-18.57656909936685</v>
      </c>
      <c r="HP54" s="30">
        <f t="shared" si="47"/>
        <v>0.58531354836993188</v>
      </c>
      <c r="HQ54" s="29">
        <v>800</v>
      </c>
      <c r="HR54" s="30">
        <v>5026.5482457436692</v>
      </c>
      <c r="HS54" s="30">
        <f t="shared" si="48"/>
        <v>-19.161882647736782</v>
      </c>
      <c r="HT54" s="30">
        <f t="shared" si="49"/>
        <v>-19.176952660103581</v>
      </c>
      <c r="HU54" s="30">
        <f t="shared" si="50"/>
        <v>-1.5070012366798835E-2</v>
      </c>
      <c r="HV54" s="30">
        <f t="shared" si="8"/>
        <v>0.75303345177263736</v>
      </c>
      <c r="HW54" s="30">
        <f t="shared" si="9"/>
        <v>0.75075471810763261</v>
      </c>
      <c r="HX54" s="73">
        <f t="shared" si="51"/>
        <v>-1.7664892088305351E-2</v>
      </c>
      <c r="HY54" s="30">
        <f t="shared" si="52"/>
        <v>1.3534170125093681</v>
      </c>
      <c r="HZ54" s="74">
        <f t="shared" si="53"/>
        <v>2.2787336650047507E-3</v>
      </c>
    </row>
    <row r="55" spans="7:234" ht="15" customHeight="1">
      <c r="G55" s="5" t="s">
        <v>239</v>
      </c>
      <c r="O55" s="30" t="s">
        <v>240</v>
      </c>
      <c r="AW55" s="104"/>
      <c r="AX55" s="104"/>
      <c r="AY55" s="104"/>
      <c r="AZ55" s="112" t="s">
        <v>130</v>
      </c>
      <c r="BA55" s="112"/>
      <c r="BB55" s="112"/>
      <c r="BC55" s="112"/>
      <c r="BD55" s="112"/>
      <c r="BE55" s="112"/>
      <c r="BF55" s="112"/>
      <c r="BG55" s="112"/>
      <c r="BH55" s="112"/>
      <c r="BI55" s="112"/>
      <c r="BJ55" s="112"/>
      <c r="BK55" s="112"/>
      <c r="BL55" s="112"/>
      <c r="BM55" s="112"/>
      <c r="BN55" s="112"/>
      <c r="BO55" s="22"/>
      <c r="BP55" s="22"/>
      <c r="BQ55" s="22"/>
      <c r="BR55" s="22"/>
      <c r="BS55" s="109"/>
      <c r="BT55" s="112" t="s">
        <v>130</v>
      </c>
      <c r="BU55" s="112"/>
      <c r="BV55" s="112"/>
      <c r="BW55" s="112"/>
      <c r="BX55" s="112"/>
      <c r="BY55" s="112"/>
      <c r="BZ55" s="112"/>
      <c r="CA55" s="112"/>
      <c r="CB55" s="112"/>
      <c r="CC55" s="112"/>
      <c r="CD55" s="112"/>
      <c r="CE55" s="112"/>
      <c r="CF55" s="112"/>
      <c r="CG55" s="112"/>
      <c r="CH55" s="112"/>
      <c r="CI55" s="22"/>
      <c r="CJ55" s="22"/>
      <c r="CK55" s="22"/>
      <c r="FO55" s="65" t="s">
        <v>208</v>
      </c>
      <c r="FP55" s="30">
        <f>BC42</f>
        <v>601.05147925648498</v>
      </c>
      <c r="FQ55" s="70" t="s">
        <v>212</v>
      </c>
      <c r="FR55" s="30">
        <f>BH42</f>
        <v>1.4087738502467937</v>
      </c>
      <c r="FT55" s="29">
        <v>900</v>
      </c>
      <c r="FU55" s="27">
        <f t="shared" si="11"/>
        <v>5654.8667764616275</v>
      </c>
      <c r="FV55" s="30">
        <f t="shared" si="12"/>
        <v>485.977327202558</v>
      </c>
      <c r="FW55" s="30">
        <f t="shared" si="13"/>
        <v>49.058423693334632</v>
      </c>
      <c r="FX55" s="34">
        <f t="shared" si="14"/>
        <v>488.44722487717837</v>
      </c>
      <c r="FY55" s="30">
        <f t="shared" si="15"/>
        <v>2.5113363987209887</v>
      </c>
      <c r="FZ55" s="30">
        <f t="shared" si="16"/>
        <v>-24.529211846667316</v>
      </c>
      <c r="GA55" s="34">
        <f t="shared" si="17"/>
        <v>24.657433855253981</v>
      </c>
      <c r="GB55" s="34">
        <f t="shared" si="18"/>
        <v>26.736892642062458</v>
      </c>
      <c r="GC55" s="34">
        <f t="shared" si="19"/>
        <v>121.35237708895274</v>
      </c>
      <c r="GD55" s="34">
        <f t="shared" si="20"/>
        <v>124.26286997044835</v>
      </c>
      <c r="GE55" s="55">
        <f t="shared" si="21"/>
        <v>286.63155367896883</v>
      </c>
      <c r="GF55" s="55">
        <f t="shared" si="22"/>
        <v>-60.676188544476368</v>
      </c>
      <c r="GG55" s="34">
        <f t="shared" si="23"/>
        <v>292.98335690053187</v>
      </c>
      <c r="GH55" s="30">
        <f t="shared" si="24"/>
        <v>123.62563031394744</v>
      </c>
      <c r="GI55" s="30">
        <f t="shared" si="0"/>
        <v>-61.563168151906225</v>
      </c>
      <c r="GJ55" s="34">
        <f t="shared" si="25"/>
        <v>138.10619154629049</v>
      </c>
      <c r="GK55" s="34">
        <f t="shared" si="26"/>
        <v>286.63155367896883</v>
      </c>
      <c r="GL55" s="34">
        <f t="shared" si="27"/>
        <v>-1475.3867938057683</v>
      </c>
      <c r="GM55" s="34">
        <f t="shared" si="28"/>
        <v>1502.9716693606983</v>
      </c>
      <c r="GN55" s="55">
        <f t="shared" si="1"/>
        <v>626.73689264206246</v>
      </c>
      <c r="GO55" s="55">
        <f t="shared" si="2"/>
        <v>121.35237708895274</v>
      </c>
      <c r="GP55" s="34">
        <f t="shared" si="29"/>
        <v>638.37726465137166</v>
      </c>
      <c r="GQ55" s="55">
        <f t="shared" si="30"/>
        <v>574.4981314094864</v>
      </c>
      <c r="GR55" s="55">
        <f t="shared" si="31"/>
        <v>-122.62923291309734</v>
      </c>
      <c r="GS55" s="34">
        <f t="shared" si="32"/>
        <v>587.44023675421329</v>
      </c>
      <c r="GT55" s="56">
        <f t="shared" si="33"/>
        <v>1087.2123512541068</v>
      </c>
      <c r="GU55" s="56">
        <f t="shared" si="33"/>
        <v>47.781567869190027</v>
      </c>
      <c r="GV55" s="34">
        <f t="shared" si="34"/>
        <v>1088.2618136034735</v>
      </c>
      <c r="GW55" s="30">
        <f t="shared" si="35"/>
        <v>113.99179676456805</v>
      </c>
      <c r="GX55" s="30">
        <f t="shared" si="3"/>
        <v>-49.101714579812395</v>
      </c>
      <c r="GY55" s="34">
        <f t="shared" si="36"/>
        <v>124.11731589223136</v>
      </c>
      <c r="GZ55" s="34">
        <f t="shared" si="4"/>
        <v>599.96912396712605</v>
      </c>
      <c r="HA55" s="34">
        <f t="shared" si="4"/>
        <v>-4.3290886477763024E-2</v>
      </c>
      <c r="HB55" s="34">
        <f t="shared" si="37"/>
        <v>599.96912552895708</v>
      </c>
      <c r="HC55" s="33">
        <f t="shared" si="5"/>
        <v>0.19000200937154405</v>
      </c>
      <c r="HD55" s="33">
        <f t="shared" si="6"/>
        <v>-8.182669284675409E-2</v>
      </c>
      <c r="HE55" s="33">
        <f t="shared" si="38"/>
        <v>0.20687283830281186</v>
      </c>
      <c r="HF55" s="33">
        <f t="shared" si="39"/>
        <v>0.1027791326492606</v>
      </c>
      <c r="HG55" s="33">
        <f t="shared" si="7"/>
        <v>-4.9990810768076224E-2</v>
      </c>
      <c r="HH55" s="33">
        <f t="shared" si="40"/>
        <v>0.11429186878069635</v>
      </c>
      <c r="HI55" s="30">
        <f t="shared" si="54"/>
        <v>8.8157880031211569E-2</v>
      </c>
      <c r="HJ55" s="30">
        <f t="shared" si="41"/>
        <v>-6.854355953831108E-2</v>
      </c>
      <c r="HK55" s="33">
        <f t="shared" si="42"/>
        <v>0.11166929464172094</v>
      </c>
      <c r="HL55" s="61">
        <f t="shared" si="43"/>
        <v>6.9100757945870936E-2</v>
      </c>
      <c r="HM55" s="61">
        <f t="shared" si="44"/>
        <v>-7.8999142287038138E-2</v>
      </c>
      <c r="HN55" s="33">
        <f t="shared" si="45"/>
        <v>0.10495608239059584</v>
      </c>
      <c r="HO55" s="30">
        <f t="shared" si="46"/>
        <v>-18.839693321978757</v>
      </c>
      <c r="HP55" s="30">
        <f t="shared" si="47"/>
        <v>0.72377354230311397</v>
      </c>
      <c r="HQ55" s="29">
        <v>900</v>
      </c>
      <c r="HR55" s="30">
        <v>5654.8667764616275</v>
      </c>
      <c r="HS55" s="30">
        <f t="shared" si="48"/>
        <v>-19.563466864281871</v>
      </c>
      <c r="HT55" s="30">
        <f t="shared" si="49"/>
        <v>-19.579847764379615</v>
      </c>
      <c r="HU55" s="30">
        <f t="shared" si="50"/>
        <v>-1.6380900097743734E-2</v>
      </c>
      <c r="HV55" s="30">
        <f t="shared" si="8"/>
        <v>0.35013834749660333</v>
      </c>
      <c r="HW55" s="30">
        <f t="shared" si="9"/>
        <v>0.34917050156254348</v>
      </c>
      <c r="HX55" s="73">
        <f t="shared" si="51"/>
        <v>-3.0874471042920959E-2</v>
      </c>
      <c r="HY55" s="30">
        <f t="shared" si="52"/>
        <v>1.090292789897461</v>
      </c>
      <c r="HZ55" s="74">
        <f t="shared" si="53"/>
        <v>9.678459340598522E-4</v>
      </c>
    </row>
    <row r="56" spans="7:234" ht="15" customHeight="1">
      <c r="O56" s="30" t="s">
        <v>241</v>
      </c>
      <c r="AY56" s="104" t="s">
        <v>33</v>
      </c>
      <c r="AZ56" s="106">
        <f>(CK38*BP50-CP38*BV50)*(CK38+BP50)+(CP38+BV50)*(CP38*BP50+CK38*BV50)</f>
        <v>7335003262.4363642</v>
      </c>
      <c r="BA56" s="106"/>
      <c r="BB56" s="106"/>
      <c r="BC56" s="106"/>
      <c r="BD56" s="106"/>
      <c r="BE56" s="106"/>
      <c r="BF56" s="106"/>
      <c r="BG56" s="106"/>
      <c r="BH56" s="106"/>
      <c r="BI56" s="106"/>
      <c r="BJ56" s="106"/>
      <c r="BK56" s="106"/>
      <c r="BL56" s="106"/>
      <c r="BM56" s="106"/>
      <c r="BN56" s="106"/>
      <c r="BO56" s="106"/>
      <c r="BS56" s="107" t="s">
        <v>115</v>
      </c>
      <c r="BT56" s="106">
        <f>(CP38*BP50+CK38*BV50)*(CK38+BP50)-(CP38+BV50)*(CK38*BP50-CP38*BV50)</f>
        <v>-595853493.19514799</v>
      </c>
      <c r="BU56" s="106"/>
      <c r="BV56" s="106"/>
      <c r="BW56" s="106"/>
      <c r="BX56" s="106"/>
      <c r="BY56" s="106"/>
      <c r="BZ56" s="106"/>
      <c r="CA56" s="106"/>
      <c r="CB56" s="106"/>
      <c r="CC56" s="106"/>
      <c r="CD56" s="106"/>
      <c r="CE56" s="106"/>
      <c r="CF56" s="106"/>
      <c r="CG56" s="106"/>
      <c r="CH56" s="106"/>
      <c r="CI56" s="106"/>
      <c r="CJ56" s="106"/>
      <c r="CK56" s="106"/>
      <c r="FO56" s="65" t="s">
        <v>209</v>
      </c>
      <c r="FP56" s="30">
        <f>BP50</f>
        <v>612.44085881281273</v>
      </c>
      <c r="FQ56" s="70" t="s">
        <v>212</v>
      </c>
      <c r="FR56" s="30">
        <f>BV50</f>
        <v>51.93639601306451</v>
      </c>
      <c r="FT56" s="29">
        <v>1000</v>
      </c>
      <c r="FU56" s="27">
        <f t="shared" si="11"/>
        <v>6283.1853071795858</v>
      </c>
      <c r="FV56" s="30">
        <f t="shared" si="12"/>
        <v>486.92360080264825</v>
      </c>
      <c r="FW56" s="30">
        <f t="shared" si="13"/>
        <v>44.239774105200937</v>
      </c>
      <c r="FX56" s="34">
        <f t="shared" si="14"/>
        <v>488.92918774756737</v>
      </c>
      <c r="FY56" s="30">
        <f t="shared" si="15"/>
        <v>2.0381995986758987</v>
      </c>
      <c r="FZ56" s="30">
        <f t="shared" si="16"/>
        <v>-22.119887052600468</v>
      </c>
      <c r="GA56" s="34">
        <f t="shared" si="17"/>
        <v>22.213591803754845</v>
      </c>
      <c r="GB56" s="34">
        <f t="shared" si="18"/>
        <v>32.446758083772885</v>
      </c>
      <c r="GC56" s="34">
        <f t="shared" si="19"/>
        <v>133.49296945283928</v>
      </c>
      <c r="GD56" s="34">
        <f t="shared" si="20"/>
        <v>137.37963824193002</v>
      </c>
      <c r="GE56" s="55">
        <f t="shared" si="21"/>
        <v>283.7766209581136</v>
      </c>
      <c r="GF56" s="55">
        <f t="shared" si="22"/>
        <v>-66.746484726419638</v>
      </c>
      <c r="GG56" s="34">
        <f t="shared" si="23"/>
        <v>291.52060617688596</v>
      </c>
      <c r="GH56" s="30">
        <f t="shared" si="24"/>
        <v>123.13077783754387</v>
      </c>
      <c r="GI56" s="30">
        <f t="shared" si="0"/>
        <v>-55.450508044195679</v>
      </c>
      <c r="GJ56" s="34">
        <f t="shared" si="25"/>
        <v>135.04053944367223</v>
      </c>
      <c r="GK56" s="34">
        <f t="shared" si="26"/>
        <v>283.7766209581136</v>
      </c>
      <c r="GL56" s="34">
        <f t="shared" si="27"/>
        <v>-1339.9860294615823</v>
      </c>
      <c r="GM56" s="34">
        <f t="shared" si="28"/>
        <v>1369.7049790939002</v>
      </c>
      <c r="GN56" s="55">
        <f t="shared" si="1"/>
        <v>632.44675808377292</v>
      </c>
      <c r="GO56" s="55">
        <f t="shared" si="2"/>
        <v>133.49296945283928</v>
      </c>
      <c r="GP56" s="34">
        <f t="shared" si="29"/>
        <v>646.38167881214815</v>
      </c>
      <c r="GQ56" s="55">
        <f t="shared" si="30"/>
        <v>568.64532137174433</v>
      </c>
      <c r="GR56" s="55">
        <f t="shared" si="31"/>
        <v>-134.8153795259523</v>
      </c>
      <c r="GS56" s="34">
        <f t="shared" si="32"/>
        <v>584.40798084446192</v>
      </c>
      <c r="GT56" s="56">
        <f t="shared" si="33"/>
        <v>1088.0156802581655</v>
      </c>
      <c r="GU56" s="56">
        <f t="shared" si="33"/>
        <v>42.917364032087931</v>
      </c>
      <c r="GV56" s="34">
        <f t="shared" si="34"/>
        <v>1088.8618005160715</v>
      </c>
      <c r="GW56" s="30">
        <f t="shared" si="35"/>
        <v>113.03585672895814</v>
      </c>
      <c r="GX56" s="30">
        <f t="shared" si="3"/>
        <v>-44.280259241120092</v>
      </c>
      <c r="GY56" s="34">
        <f t="shared" si="36"/>
        <v>121.39953156791979</v>
      </c>
      <c r="GZ56" s="34">
        <f t="shared" si="4"/>
        <v>599.9594575316064</v>
      </c>
      <c r="HA56" s="34">
        <f t="shared" si="4"/>
        <v>-4.0485135919155368E-2</v>
      </c>
      <c r="HB56" s="34">
        <f t="shared" si="37"/>
        <v>599.95945889757058</v>
      </c>
      <c r="HC56" s="33">
        <f t="shared" si="5"/>
        <v>0.18841080479292974</v>
      </c>
      <c r="HD56" s="33">
        <f t="shared" si="6"/>
        <v>-7.3792705237498646E-2</v>
      </c>
      <c r="HE56" s="33">
        <f t="shared" si="38"/>
        <v>0.20234622484491238</v>
      </c>
      <c r="HF56" s="33">
        <f t="shared" si="39"/>
        <v>0.10222473943215982</v>
      </c>
      <c r="HG56" s="33">
        <f t="shared" si="7"/>
        <v>-4.5029298961636217E-2</v>
      </c>
      <c r="HH56" s="33">
        <f t="shared" si="40"/>
        <v>0.11170288768402266</v>
      </c>
      <c r="HI56" s="30">
        <f t="shared" si="54"/>
        <v>8.6751064324806226E-2</v>
      </c>
      <c r="HJ56" s="30">
        <f t="shared" si="41"/>
        <v>-6.533515926034103E-2</v>
      </c>
      <c r="HK56" s="33">
        <f t="shared" si="42"/>
        <v>0.10860216478993776</v>
      </c>
      <c r="HL56" s="61">
        <f t="shared" si="43"/>
        <v>6.6265132586000669E-2</v>
      </c>
      <c r="HM56" s="61">
        <f t="shared" si="44"/>
        <v>-7.5970070622026514E-2</v>
      </c>
      <c r="HN56" s="33">
        <f t="shared" si="45"/>
        <v>0.10080932212328354</v>
      </c>
      <c r="HO56" s="30">
        <f t="shared" si="46"/>
        <v>-19.038711991756546</v>
      </c>
      <c r="HP56" s="30">
        <f t="shared" si="47"/>
        <v>0.87392537408786808</v>
      </c>
      <c r="HQ56" s="29">
        <v>1000</v>
      </c>
      <c r="HR56" s="30">
        <v>6283.1853071795858</v>
      </c>
      <c r="HS56" s="30">
        <f t="shared" si="48"/>
        <v>-19.912637365844414</v>
      </c>
      <c r="HT56" s="30">
        <f t="shared" si="49"/>
        <v>-19.929986111876218</v>
      </c>
      <c r="HU56" s="30">
        <f t="shared" si="50"/>
        <v>-1.7348746031803586E-2</v>
      </c>
      <c r="HV56" s="30">
        <f t="shared" si="8"/>
        <v>0</v>
      </c>
      <c r="HW56" s="30">
        <f t="shared" si="9"/>
        <v>0</v>
      </c>
      <c r="HX56" s="73">
        <f t="shared" si="51"/>
        <v>-4.0541102429415332E-2</v>
      </c>
      <c r="HY56" s="30">
        <f t="shared" si="52"/>
        <v>0.89127412011967166</v>
      </c>
      <c r="HZ56" s="74">
        <f t="shared" si="53"/>
        <v>0</v>
      </c>
    </row>
    <row r="57" spans="7:234" ht="15" customHeight="1" thickBot="1">
      <c r="G57" s="30" t="s">
        <v>242</v>
      </c>
      <c r="AY57" s="104"/>
      <c r="BC57" s="108">
        <f>(CK38+BP50)^2+(CP38+BV50)^2</f>
        <v>12771995.063420236</v>
      </c>
      <c r="BD57" s="108"/>
      <c r="BE57" s="108"/>
      <c r="BF57" s="108"/>
      <c r="BG57" s="108"/>
      <c r="BH57" s="108"/>
      <c r="BI57" s="108"/>
      <c r="BJ57" s="108"/>
      <c r="BK57" s="108"/>
      <c r="BL57" s="108"/>
      <c r="BM57" s="108"/>
      <c r="BS57" s="107"/>
      <c r="BV57" s="108">
        <f>BC57</f>
        <v>12771995.063420236</v>
      </c>
      <c r="BW57" s="108"/>
      <c r="BX57" s="108"/>
      <c r="BY57" s="108"/>
      <c r="BZ57" s="108"/>
      <c r="CA57" s="108"/>
      <c r="CB57" s="108"/>
      <c r="CC57" s="108"/>
      <c r="CD57" s="108"/>
      <c r="CE57" s="108"/>
      <c r="CF57" s="108"/>
      <c r="CG57" s="108"/>
      <c r="FO57" s="65" t="s">
        <v>210</v>
      </c>
      <c r="FP57" s="30">
        <f>BH48</f>
        <v>601.04471243014996</v>
      </c>
      <c r="FQ57" s="70" t="s">
        <v>212</v>
      </c>
      <c r="FR57" s="30">
        <f>BM48</f>
        <v>-1.4285304294167549</v>
      </c>
      <c r="FT57" s="29">
        <v>1100</v>
      </c>
      <c r="FU57" s="27">
        <f t="shared" si="11"/>
        <v>6911.5038378975451</v>
      </c>
      <c r="FV57" s="30">
        <f t="shared" si="12"/>
        <v>487.62614539293094</v>
      </c>
      <c r="FW57" s="30">
        <f t="shared" si="13"/>
        <v>40.276826262561087</v>
      </c>
      <c r="FX57" s="34">
        <f t="shared" si="14"/>
        <v>489.28670573044627</v>
      </c>
      <c r="FY57" s="30">
        <f t="shared" si="15"/>
        <v>1.6869273035345551</v>
      </c>
      <c r="FZ57" s="30">
        <f t="shared" si="16"/>
        <v>-20.138413131280544</v>
      </c>
      <c r="GA57" s="34">
        <f t="shared" si="17"/>
        <v>20.208943742153942</v>
      </c>
      <c r="GB57" s="34">
        <f t="shared" si="18"/>
        <v>38.626769442961333</v>
      </c>
      <c r="GC57" s="34">
        <f t="shared" si="19"/>
        <v>145.24332059475606</v>
      </c>
      <c r="GD57" s="34">
        <f t="shared" si="20"/>
        <v>150.29188100157234</v>
      </c>
      <c r="GE57" s="55">
        <f t="shared" si="21"/>
        <v>280.68661527851935</v>
      </c>
      <c r="GF57" s="55">
        <f t="shared" si="22"/>
        <v>-72.621660297378028</v>
      </c>
      <c r="GG57" s="34">
        <f t="shared" si="23"/>
        <v>289.92909743738954</v>
      </c>
      <c r="GH57" s="30">
        <f t="shared" si="24"/>
        <v>122.76343834719157</v>
      </c>
      <c r="GI57" s="30">
        <f t="shared" si="0"/>
        <v>-50.439018239831157</v>
      </c>
      <c r="GJ57" s="34">
        <f t="shared" si="25"/>
        <v>132.72134853075718</v>
      </c>
      <c r="GK57" s="34">
        <f t="shared" si="26"/>
        <v>280.68661527851935</v>
      </c>
      <c r="GL57" s="34">
        <f t="shared" si="27"/>
        <v>-1230.1121555111622</v>
      </c>
      <c r="GM57" s="34">
        <f t="shared" si="28"/>
        <v>1261.7293256213193</v>
      </c>
      <c r="GN57" s="55">
        <f t="shared" si="1"/>
        <v>638.62676944296129</v>
      </c>
      <c r="GO57" s="55">
        <f t="shared" si="2"/>
        <v>145.24332059475606</v>
      </c>
      <c r="GP57" s="34">
        <f t="shared" si="29"/>
        <v>654.9349378576045</v>
      </c>
      <c r="GQ57" s="55">
        <f t="shared" si="30"/>
        <v>562.32587551930999</v>
      </c>
      <c r="GR57" s="55">
        <f t="shared" si="31"/>
        <v>-146.59296894704028</v>
      </c>
      <c r="GS57" s="34">
        <f t="shared" si="32"/>
        <v>581.11951337333915</v>
      </c>
      <c r="GT57" s="56">
        <f t="shared" si="33"/>
        <v>1088.5787903552023</v>
      </c>
      <c r="GU57" s="56">
        <f t="shared" si="33"/>
        <v>38.927177910276868</v>
      </c>
      <c r="GV57" s="34">
        <f t="shared" si="34"/>
        <v>1089.2745787868428</v>
      </c>
      <c r="GW57" s="30">
        <f t="shared" si="35"/>
        <v>112.325994536434</v>
      </c>
      <c r="GX57" s="30">
        <f t="shared" si="3"/>
        <v>-40.314727899110537</v>
      </c>
      <c r="GY57" s="34">
        <f t="shared" si="36"/>
        <v>119.34155325861282</v>
      </c>
      <c r="GZ57" s="34">
        <f t="shared" si="4"/>
        <v>599.95213992936488</v>
      </c>
      <c r="HA57" s="34">
        <f t="shared" si="4"/>
        <v>-3.7901636549449336E-2</v>
      </c>
      <c r="HB57" s="34">
        <f t="shared" si="37"/>
        <v>599.95214112657209</v>
      </c>
      <c r="HC57" s="33">
        <f t="shared" si="5"/>
        <v>0.18722916958251085</v>
      </c>
      <c r="HD57" s="33">
        <f t="shared" si="6"/>
        <v>-6.71847451230346E-2</v>
      </c>
      <c r="HE57" s="33">
        <f t="shared" si="38"/>
        <v>0.19891845545299142</v>
      </c>
      <c r="HF57" s="33">
        <f t="shared" si="39"/>
        <v>0.10181223352559607</v>
      </c>
      <c r="HG57" s="33">
        <f t="shared" si="7"/>
        <v>-4.0962406346695276E-2</v>
      </c>
      <c r="HH57" s="33">
        <f t="shared" si="40"/>
        <v>0.1097435630421315</v>
      </c>
      <c r="HI57" s="30">
        <f t="shared" si="54"/>
        <v>8.5417452879549494E-2</v>
      </c>
      <c r="HJ57" s="30">
        <f t="shared" si="41"/>
        <v>-6.2973173331769564E-2</v>
      </c>
      <c r="HK57" s="33">
        <f t="shared" si="42"/>
        <v>0.10612144842539208</v>
      </c>
      <c r="HL57" s="61">
        <f t="shared" si="43"/>
        <v>6.3510229724178177E-2</v>
      </c>
      <c r="HM57" s="61">
        <f t="shared" si="44"/>
        <v>-7.360847196703002E-2</v>
      </c>
      <c r="HN57" s="33">
        <f t="shared" si="45"/>
        <v>9.7220144131444947E-2</v>
      </c>
      <c r="HO57" s="30">
        <f t="shared" si="46"/>
        <v>-19.19241887361046</v>
      </c>
      <c r="HP57" s="30">
        <f t="shared" si="47"/>
        <v>1.0344137318099058</v>
      </c>
      <c r="HQ57" s="29">
        <v>1100</v>
      </c>
      <c r="HR57" s="30">
        <v>6911.5038378975451</v>
      </c>
      <c r="HS57" s="30">
        <f t="shared" si="48"/>
        <v>-20.226832605420366</v>
      </c>
      <c r="HT57" s="30">
        <f t="shared" si="49"/>
        <v>-20.244874788157983</v>
      </c>
      <c r="HU57" s="30">
        <f t="shared" si="50"/>
        <v>-1.8042182737616486E-2</v>
      </c>
      <c r="HV57" s="30">
        <f t="shared" si="8"/>
        <v>-0.31488867628176465</v>
      </c>
      <c r="HW57" s="30">
        <f t="shared" si="9"/>
        <v>-0.31419523957595175</v>
      </c>
      <c r="HX57" s="73">
        <f t="shared" si="51"/>
        <v>-4.785887342791284E-2</v>
      </c>
      <c r="HY57" s="30">
        <f t="shared" si="52"/>
        <v>0.73756723826575765</v>
      </c>
      <c r="HZ57" s="74">
        <f t="shared" si="53"/>
        <v>-6.9343670581289985E-4</v>
      </c>
    </row>
    <row r="58" spans="7:234" ht="15" customHeight="1">
      <c r="G58" s="30" t="s">
        <v>243</v>
      </c>
      <c r="Q58" s="3" t="s">
        <v>265</v>
      </c>
      <c r="AU58" s="108" t="s">
        <v>117</v>
      </c>
      <c r="AV58" s="108"/>
      <c r="AW58" s="108"/>
      <c r="AX58" s="108"/>
      <c r="AY58" s="108" t="s">
        <v>33</v>
      </c>
      <c r="AZ58" s="151">
        <f>AZ56/BC57</f>
        <v>574.30364058347118</v>
      </c>
      <c r="BA58" s="152"/>
      <c r="BB58" s="152"/>
      <c r="BC58" s="152"/>
      <c r="BD58" s="153"/>
      <c r="BE58" s="109" t="s">
        <v>115</v>
      </c>
      <c r="BF58" s="151">
        <f>BT56/BV57</f>
        <v>-46.653125861417557</v>
      </c>
      <c r="BG58" s="152"/>
      <c r="BH58" s="152"/>
      <c r="BI58" s="152"/>
      <c r="BJ58" s="153"/>
      <c r="FO58" s="65" t="s">
        <v>211</v>
      </c>
      <c r="FP58" s="30">
        <f>AZ58</f>
        <v>574.30364058347118</v>
      </c>
      <c r="FQ58" s="70" t="s">
        <v>212</v>
      </c>
      <c r="FR58" s="30">
        <f>BF58</f>
        <v>-46.653125861417557</v>
      </c>
      <c r="FT58" s="29">
        <v>1200</v>
      </c>
      <c r="FU58" s="27">
        <f t="shared" si="11"/>
        <v>7539.8223686155034</v>
      </c>
      <c r="FV58" s="30">
        <f t="shared" si="12"/>
        <v>488.16186628225074</v>
      </c>
      <c r="FW58" s="30">
        <f t="shared" si="13"/>
        <v>36.961559987103819</v>
      </c>
      <c r="FX58" s="34">
        <f t="shared" si="14"/>
        <v>489.55915332965674</v>
      </c>
      <c r="FY58" s="30">
        <f t="shared" si="15"/>
        <v>1.4190668588746551</v>
      </c>
      <c r="FZ58" s="30">
        <f t="shared" si="16"/>
        <v>-18.480779993551909</v>
      </c>
      <c r="GA58" s="34">
        <f t="shared" si="17"/>
        <v>18.535182219768569</v>
      </c>
      <c r="GB58" s="34">
        <f t="shared" si="18"/>
        <v>45.24274958261136</v>
      </c>
      <c r="GC58" s="34">
        <f t="shared" si="19"/>
        <v>156.57990239014197</v>
      </c>
      <c r="GD58" s="34">
        <f t="shared" si="20"/>
        <v>162.98519019316223</v>
      </c>
      <c r="GE58" s="55">
        <f t="shared" si="21"/>
        <v>277.3786252086943</v>
      </c>
      <c r="GF58" s="55">
        <f t="shared" si="22"/>
        <v>-78.289951195070984</v>
      </c>
      <c r="GG58" s="34">
        <f t="shared" si="23"/>
        <v>288.21557588165132</v>
      </c>
      <c r="GH58" s="30">
        <f t="shared" si="24"/>
        <v>122.48335745408623</v>
      </c>
      <c r="GI58" s="30">
        <f t="shared" si="0"/>
        <v>-46.256362962381488</v>
      </c>
      <c r="GJ58" s="34">
        <f t="shared" si="25"/>
        <v>130.92678857946925</v>
      </c>
      <c r="GK58" s="34">
        <f t="shared" si="26"/>
        <v>277.3786252086943</v>
      </c>
      <c r="GL58" s="34">
        <f t="shared" si="27"/>
        <v>-1139.3229051410399</v>
      </c>
      <c r="GM58" s="34">
        <f t="shared" si="28"/>
        <v>1172.6020569236966</v>
      </c>
      <c r="GN58" s="55">
        <f t="shared" si="1"/>
        <v>645.2427495826114</v>
      </c>
      <c r="GO58" s="55">
        <f t="shared" si="2"/>
        <v>156.57990239014197</v>
      </c>
      <c r="GP58" s="34">
        <f t="shared" si="29"/>
        <v>663.96948101658631</v>
      </c>
      <c r="GQ58" s="55">
        <f t="shared" si="30"/>
        <v>555.57624209293067</v>
      </c>
      <c r="GR58" s="55">
        <f t="shared" si="31"/>
        <v>-157.94047860300125</v>
      </c>
      <c r="GS58" s="34">
        <f t="shared" si="32"/>
        <v>577.58995451743078</v>
      </c>
      <c r="GT58" s="56">
        <f t="shared" si="33"/>
        <v>1088.9808579577928</v>
      </c>
      <c r="GU58" s="56">
        <f t="shared" si="33"/>
        <v>35.600983774244526</v>
      </c>
      <c r="GV58" s="34">
        <f t="shared" si="34"/>
        <v>1089.5626365859764</v>
      </c>
      <c r="GW58" s="30">
        <f t="shared" si="35"/>
        <v>111.78458272578399</v>
      </c>
      <c r="GX58" s="30">
        <f t="shared" si="3"/>
        <v>-36.997096667749389</v>
      </c>
      <c r="GY58" s="34">
        <f t="shared" si="36"/>
        <v>117.74794306916975</v>
      </c>
      <c r="GZ58" s="34">
        <f t="shared" ref="GZ58:HA86" si="56">FV58+GW58</f>
        <v>599.94644900803473</v>
      </c>
      <c r="HA58" s="34">
        <f t="shared" si="56"/>
        <v>-3.5536680645570584E-2</v>
      </c>
      <c r="HB58" s="34">
        <f t="shared" si="37"/>
        <v>599.94645006050837</v>
      </c>
      <c r="HC58" s="33">
        <f t="shared" si="5"/>
        <v>0.18632791971796306</v>
      </c>
      <c r="HD58" s="33">
        <f t="shared" si="6"/>
        <v>-6.1656294912874172E-2</v>
      </c>
      <c r="HE58" s="33">
        <f t="shared" si="38"/>
        <v>0.19626408833204051</v>
      </c>
      <c r="HF58" s="33">
        <f t="shared" si="39"/>
        <v>0.10149672988253579</v>
      </c>
      <c r="HG58" s="33">
        <f t="shared" si="7"/>
        <v>-3.7568309314244541E-2</v>
      </c>
      <c r="HH58" s="33">
        <f t="shared" si="40"/>
        <v>0.10822644797635736</v>
      </c>
      <c r="HI58" s="30">
        <f t="shared" si="54"/>
        <v>8.4116719999157527E-2</v>
      </c>
      <c r="HJ58" s="30">
        <f t="shared" si="41"/>
        <v>-6.1229847102456408E-2</v>
      </c>
      <c r="HK58" s="33">
        <f t="shared" si="42"/>
        <v>0.10404189905805668</v>
      </c>
      <c r="HL58" s="61">
        <f t="shared" si="43"/>
        <v>6.0820395456538855E-2</v>
      </c>
      <c r="HM58" s="61">
        <f t="shared" si="44"/>
        <v>-7.1695745322692156E-2</v>
      </c>
      <c r="HN58" s="33">
        <f t="shared" si="45"/>
        <v>9.4018085498834253E-2</v>
      </c>
      <c r="HO58" s="30">
        <f t="shared" si="46"/>
        <v>-19.313331899820682</v>
      </c>
      <c r="HP58" s="30">
        <f t="shared" si="47"/>
        <v>1.203919406607973</v>
      </c>
      <c r="HQ58" s="29">
        <v>1200</v>
      </c>
      <c r="HR58" s="30">
        <v>7539.8223686155034</v>
      </c>
      <c r="HS58" s="30">
        <f t="shared" si="48"/>
        <v>-20.517251306428655</v>
      </c>
      <c r="HT58" s="30">
        <f t="shared" si="49"/>
        <v>-20.535771932931365</v>
      </c>
      <c r="HU58" s="30">
        <f t="shared" si="50"/>
        <v>-1.8520626502709803E-2</v>
      </c>
      <c r="HV58" s="30">
        <f t="shared" si="8"/>
        <v>-0.60578582105514656</v>
      </c>
      <c r="HW58" s="30">
        <f t="shared" si="9"/>
        <v>-0.60461394058424034</v>
      </c>
      <c r="HX58" s="73">
        <f t="shared" si="51"/>
        <v>-5.3549939491631449E-2</v>
      </c>
      <c r="HY58" s="30">
        <f t="shared" si="52"/>
        <v>0.61665421205553628</v>
      </c>
      <c r="HZ58" s="74">
        <f t="shared" si="53"/>
        <v>-1.1718804709062169E-3</v>
      </c>
    </row>
    <row r="59" spans="7:234" ht="15" customHeight="1" thickBot="1">
      <c r="AU59" s="108"/>
      <c r="AV59" s="108"/>
      <c r="AW59" s="108"/>
      <c r="AX59" s="108"/>
      <c r="AY59" s="108"/>
      <c r="AZ59" s="159"/>
      <c r="BA59" s="155"/>
      <c r="BB59" s="155"/>
      <c r="BC59" s="155"/>
      <c r="BD59" s="156"/>
      <c r="BE59" s="109"/>
      <c r="BF59" s="159"/>
      <c r="BG59" s="155"/>
      <c r="BH59" s="155"/>
      <c r="BI59" s="155"/>
      <c r="BJ59" s="156"/>
      <c r="FT59" s="29">
        <v>1300</v>
      </c>
      <c r="FU59" s="27">
        <f t="shared" si="11"/>
        <v>8168.1408993334617</v>
      </c>
      <c r="FV59" s="30">
        <f t="shared" si="12"/>
        <v>488.57960984667125</v>
      </c>
      <c r="FW59" s="30">
        <f t="shared" si="13"/>
        <v>34.147972506977233</v>
      </c>
      <c r="FX59" s="34">
        <f t="shared" si="14"/>
        <v>489.77149690877559</v>
      </c>
      <c r="FY59" s="30">
        <f t="shared" si="15"/>
        <v>1.2101950766643901</v>
      </c>
      <c r="FZ59" s="30">
        <f t="shared" si="16"/>
        <v>-17.073986253488616</v>
      </c>
      <c r="GA59" s="34">
        <f t="shared" si="17"/>
        <v>17.116821513000041</v>
      </c>
      <c r="GB59" s="34">
        <f t="shared" si="18"/>
        <v>52.259396168422739</v>
      </c>
      <c r="GC59" s="34">
        <f t="shared" si="19"/>
        <v>167.48274625838457</v>
      </c>
      <c r="GD59" s="34">
        <f t="shared" si="20"/>
        <v>175.44661519145529</v>
      </c>
      <c r="GE59" s="55">
        <f t="shared" si="21"/>
        <v>273.87030191578867</v>
      </c>
      <c r="GF59" s="55">
        <f t="shared" si="22"/>
        <v>-83.741373129192283</v>
      </c>
      <c r="GG59" s="34">
        <f t="shared" si="23"/>
        <v>286.38708044359794</v>
      </c>
      <c r="GH59" s="30">
        <f t="shared" si="24"/>
        <v>122.26497527221267</v>
      </c>
      <c r="GI59" s="30">
        <f t="shared" si="0"/>
        <v>-42.713006236893619</v>
      </c>
      <c r="GJ59" s="34">
        <f t="shared" si="25"/>
        <v>129.51110021966338</v>
      </c>
      <c r="GK59" s="34">
        <f t="shared" si="26"/>
        <v>273.87030191578867</v>
      </c>
      <c r="GL59" s="34">
        <f t="shared" si="27"/>
        <v>-1063.156407540856</v>
      </c>
      <c r="GM59" s="34">
        <f t="shared" si="28"/>
        <v>1097.8645131192754</v>
      </c>
      <c r="GN59" s="55">
        <f t="shared" si="1"/>
        <v>652.25939616842277</v>
      </c>
      <c r="GO59" s="55">
        <f t="shared" si="2"/>
        <v>167.48274625838457</v>
      </c>
      <c r="GP59" s="34">
        <f t="shared" si="29"/>
        <v>673.41873316996896</v>
      </c>
      <c r="GQ59" s="55">
        <f t="shared" si="30"/>
        <v>548.43341513618464</v>
      </c>
      <c r="GR59" s="55">
        <f t="shared" si="31"/>
        <v>-168.840111218229</v>
      </c>
      <c r="GS59" s="34">
        <f t="shared" si="32"/>
        <v>573.83463993917496</v>
      </c>
      <c r="GT59" s="56">
        <f t="shared" si="33"/>
        <v>1089.2724211512786</v>
      </c>
      <c r="GU59" s="56">
        <f t="shared" si="33"/>
        <v>32.790607547132794</v>
      </c>
      <c r="GV59" s="34">
        <f t="shared" si="34"/>
        <v>1089.7658608270306</v>
      </c>
      <c r="GW59" s="30">
        <f t="shared" si="35"/>
        <v>111.36231731272014</v>
      </c>
      <c r="GX59" s="30">
        <f t="shared" si="3"/>
        <v>-34.181343232373301</v>
      </c>
      <c r="GY59" s="34">
        <f t="shared" si="36"/>
        <v>116.49004224580005</v>
      </c>
      <c r="GZ59" s="34">
        <f t="shared" si="56"/>
        <v>599.94192715939141</v>
      </c>
      <c r="HA59" s="34">
        <f t="shared" si="56"/>
        <v>-3.3370725396068224E-2</v>
      </c>
      <c r="HB59" s="34">
        <f t="shared" si="37"/>
        <v>599.94192808748573</v>
      </c>
      <c r="HC59" s="33">
        <f t="shared" si="5"/>
        <v>0.1856249966945499</v>
      </c>
      <c r="HD59" s="33">
        <f t="shared" si="6"/>
        <v>-5.6964094763962657E-2</v>
      </c>
      <c r="HE59" s="33">
        <f t="shared" si="38"/>
        <v>0.19416886333840805</v>
      </c>
      <c r="HF59" s="33">
        <f t="shared" si="39"/>
        <v>0.10124986127859931</v>
      </c>
      <c r="HG59" s="33">
        <f t="shared" si="7"/>
        <v>-3.4692815887891755E-2</v>
      </c>
      <c r="HH59" s="33">
        <f t="shared" si="40"/>
        <v>0.107028621794204</v>
      </c>
      <c r="HI59" s="30">
        <f t="shared" si="54"/>
        <v>8.282542488331851E-2</v>
      </c>
      <c r="HJ59" s="30">
        <f t="shared" si="41"/>
        <v>-5.9946302552662638E-2</v>
      </c>
      <c r="HK59" s="33">
        <f t="shared" si="42"/>
        <v>0.10224289802640379</v>
      </c>
      <c r="HL59" s="61">
        <f t="shared" si="43"/>
        <v>5.8193238606100872E-2</v>
      </c>
      <c r="HM59" s="61">
        <f t="shared" si="44"/>
        <v>-7.008583581249439E-2</v>
      </c>
      <c r="HN59" s="33">
        <f t="shared" si="45"/>
        <v>9.1095979060562882E-2</v>
      </c>
      <c r="HO59" s="30">
        <f t="shared" si="46"/>
        <v>-19.410001338805817</v>
      </c>
      <c r="HP59" s="30">
        <f t="shared" si="47"/>
        <v>1.3811820115331095</v>
      </c>
      <c r="HQ59" s="29">
        <v>1300</v>
      </c>
      <c r="HR59" s="30">
        <v>8168.1408993334617</v>
      </c>
      <c r="HS59" s="30">
        <f t="shared" si="48"/>
        <v>-20.791183350338926</v>
      </c>
      <c r="HT59" s="30">
        <f t="shared" si="49"/>
        <v>-20.810015843712133</v>
      </c>
      <c r="HU59" s="30">
        <f t="shared" si="50"/>
        <v>-1.8832493373206916E-2</v>
      </c>
      <c r="HV59" s="30">
        <f t="shared" si="8"/>
        <v>-0.88002973183591493</v>
      </c>
      <c r="HW59" s="30">
        <f t="shared" si="9"/>
        <v>-0.8785459844945116</v>
      </c>
      <c r="HX59" s="73">
        <f t="shared" si="51"/>
        <v>-5.8071912514265023E-2</v>
      </c>
      <c r="HY59" s="30">
        <f t="shared" si="52"/>
        <v>0.51998477307040147</v>
      </c>
      <c r="HZ59" s="74">
        <f t="shared" si="53"/>
        <v>-1.4837473414033298E-3</v>
      </c>
    </row>
    <row r="60" spans="7:234" ht="15" customHeight="1">
      <c r="G60" s="30" t="s">
        <v>244</v>
      </c>
      <c r="AY60" s="104"/>
      <c r="FT60" s="29">
        <v>1500</v>
      </c>
      <c r="FU60" s="27">
        <f t="shared" si="11"/>
        <v>9424.7779607693792</v>
      </c>
      <c r="FV60" s="30">
        <f t="shared" si="12"/>
        <v>489.17975341698479</v>
      </c>
      <c r="FW60" s="30">
        <f t="shared" si="13"/>
        <v>29.631775649207384</v>
      </c>
      <c r="FX60" s="34">
        <f t="shared" si="14"/>
        <v>490.07639535201758</v>
      </c>
      <c r="FY60" s="30">
        <f t="shared" si="15"/>
        <v>0.91012329150762272</v>
      </c>
      <c r="FZ60" s="30">
        <f t="shared" si="16"/>
        <v>-14.815887824603692</v>
      </c>
      <c r="GA60" s="34">
        <f t="shared" si="17"/>
        <v>14.843815427206868</v>
      </c>
      <c r="GB60" s="34">
        <f t="shared" si="18"/>
        <v>67.350336127297027</v>
      </c>
      <c r="GC60" s="34">
        <f t="shared" si="19"/>
        <v>187.9250616251062</v>
      </c>
      <c r="GD60" s="34">
        <f t="shared" si="20"/>
        <v>199.62939804362446</v>
      </c>
      <c r="GE60" s="55">
        <f t="shared" si="21"/>
        <v>266.32483193635153</v>
      </c>
      <c r="GF60" s="55">
        <f t="shared" si="22"/>
        <v>-93.962530812553098</v>
      </c>
      <c r="GG60" s="34">
        <f t="shared" si="23"/>
        <v>282.414364547248</v>
      </c>
      <c r="GH60" s="30">
        <f t="shared" si="24"/>
        <v>121.95126935180217</v>
      </c>
      <c r="GI60" s="30">
        <f t="shared" si="0"/>
        <v>-37.036397056760286</v>
      </c>
      <c r="GJ60" s="34">
        <f t="shared" si="25"/>
        <v>127.45119380948067</v>
      </c>
      <c r="GK60" s="34">
        <f t="shared" si="26"/>
        <v>266.32483193635153</v>
      </c>
      <c r="GL60" s="34">
        <f t="shared" si="27"/>
        <v>-942.78889396932823</v>
      </c>
      <c r="GM60" s="34">
        <f t="shared" si="28"/>
        <v>979.68352782816305</v>
      </c>
      <c r="GN60" s="55">
        <f t="shared" si="1"/>
        <v>667.35033612729706</v>
      </c>
      <c r="GO60" s="55">
        <f t="shared" si="2"/>
        <v>187.9250616251062</v>
      </c>
      <c r="GP60" s="34">
        <f t="shared" si="29"/>
        <v>693.30534392575998</v>
      </c>
      <c r="GQ60" s="55">
        <f t="shared" si="30"/>
        <v>533.11669308283535</v>
      </c>
      <c r="GR60" s="55">
        <f t="shared" si="31"/>
        <v>-189.24233057716529</v>
      </c>
      <c r="GS60" s="34">
        <f t="shared" si="32"/>
        <v>565.70846566571299</v>
      </c>
      <c r="GT60" s="56">
        <f t="shared" si="33"/>
        <v>1089.6467826271173</v>
      </c>
      <c r="GU60" s="56">
        <f t="shared" si="33"/>
        <v>28.314506697148289</v>
      </c>
      <c r="GV60" s="34">
        <f t="shared" si="34"/>
        <v>1090.0145972321341</v>
      </c>
      <c r="GW60" s="30">
        <f t="shared" si="35"/>
        <v>110.75552507071046</v>
      </c>
      <c r="GX60" s="30">
        <f t="shared" si="3"/>
        <v>-29.661324772787943</v>
      </c>
      <c r="GY60" s="34">
        <f t="shared" si="36"/>
        <v>114.65853880529603</v>
      </c>
      <c r="GZ60" s="34">
        <f t="shared" si="56"/>
        <v>599.93527848769531</v>
      </c>
      <c r="HA60" s="34">
        <f t="shared" si="56"/>
        <v>-2.9549123580558501E-2</v>
      </c>
      <c r="HB60" s="34">
        <f t="shared" si="37"/>
        <v>599.93527921539942</v>
      </c>
      <c r="HC60" s="33">
        <f t="shared" si="5"/>
        <v>0.18461489048572541</v>
      </c>
      <c r="HD60" s="33">
        <f t="shared" si="6"/>
        <v>-4.9431781440374849E-2</v>
      </c>
      <c r="HE60" s="33">
        <f t="shared" si="38"/>
        <v>0.19111818020645072</v>
      </c>
      <c r="HF60" s="33">
        <f t="shared" si="39"/>
        <v>0.10089342526146679</v>
      </c>
      <c r="HG60" s="33">
        <f t="shared" si="7"/>
        <v>-3.0085061050350765E-2</v>
      </c>
      <c r="HH60" s="33">
        <f t="shared" si="40"/>
        <v>0.10528339925835657</v>
      </c>
      <c r="HI60" s="30">
        <f t="shared" si="54"/>
        <v>8.0223290922514026E-2</v>
      </c>
      <c r="HJ60" s="30">
        <f t="shared" si="41"/>
        <v>-5.8332061279803497E-2</v>
      </c>
      <c r="HK60" s="33">
        <f t="shared" si="42"/>
        <v>9.9188738169154425E-2</v>
      </c>
      <c r="HL60" s="61">
        <f t="shared" si="43"/>
        <v>5.3144294721068651E-2</v>
      </c>
      <c r="HM60" s="61">
        <f t="shared" si="44"/>
        <v>-6.7410442750987967E-2</v>
      </c>
      <c r="HN60" s="33">
        <f t="shared" si="45"/>
        <v>8.5839873329846147E-2</v>
      </c>
      <c r="HO60" s="30">
        <f t="shared" si="46"/>
        <v>-19.552802030963633</v>
      </c>
      <c r="HP60" s="30">
        <f t="shared" si="47"/>
        <v>1.7543146199285715</v>
      </c>
      <c r="HQ60" s="29">
        <v>1500</v>
      </c>
      <c r="HR60" s="30">
        <v>9424.7779607693792</v>
      </c>
      <c r="HS60" s="30">
        <f t="shared" si="48"/>
        <v>-21.307116650892205</v>
      </c>
      <c r="HT60" s="30">
        <f t="shared" si="49"/>
        <v>-21.326218638220816</v>
      </c>
      <c r="HU60" s="30">
        <f t="shared" si="50"/>
        <v>-1.9101987328610903E-2</v>
      </c>
      <c r="HV60" s="30">
        <f t="shared" si="8"/>
        <v>-1.3962325263445976</v>
      </c>
      <c r="HW60" s="30">
        <f t="shared" si="9"/>
        <v>-1.3944792850477903</v>
      </c>
      <c r="HX60" s="73">
        <f t="shared" si="51"/>
        <v>-6.4720784600581283E-2</v>
      </c>
      <c r="HY60" s="30">
        <f t="shared" si="52"/>
        <v>0.37718408091258482</v>
      </c>
      <c r="HZ60" s="74">
        <f t="shared" si="53"/>
        <v>-1.7532412968073174E-3</v>
      </c>
    </row>
    <row r="61" spans="7:234" ht="15" customHeight="1">
      <c r="G61" s="30" t="s">
        <v>245</v>
      </c>
      <c r="AY61" s="104"/>
      <c r="FT61" s="29">
        <v>1700</v>
      </c>
      <c r="FU61" s="27">
        <f t="shared" si="11"/>
        <v>10681.415022205296</v>
      </c>
      <c r="FV61" s="30">
        <f t="shared" si="12"/>
        <v>489.58167222870702</v>
      </c>
      <c r="FW61" s="30">
        <f t="shared" si="13"/>
        <v>26.16746917839491</v>
      </c>
      <c r="FX61" s="34">
        <f t="shared" si="14"/>
        <v>490.28048117935447</v>
      </c>
      <c r="FY61" s="30">
        <f t="shared" si="15"/>
        <v>0.70916388564654453</v>
      </c>
      <c r="FZ61" s="30">
        <f t="shared" si="16"/>
        <v>-13.083734589197455</v>
      </c>
      <c r="GA61" s="34">
        <f t="shared" si="17"/>
        <v>13.102939525818899</v>
      </c>
      <c r="GB61" s="34">
        <f t="shared" si="18"/>
        <v>83.609984103001807</v>
      </c>
      <c r="GC61" s="34">
        <f t="shared" si="19"/>
        <v>206.4802622829684</v>
      </c>
      <c r="GD61" s="34">
        <f t="shared" si="20"/>
        <v>222.76608394041415</v>
      </c>
      <c r="GE61" s="55">
        <f t="shared" si="21"/>
        <v>258.19500794849915</v>
      </c>
      <c r="GF61" s="55">
        <f t="shared" si="22"/>
        <v>-103.2401311414842</v>
      </c>
      <c r="GG61" s="34">
        <f t="shared" si="23"/>
        <v>278.07047093791965</v>
      </c>
      <c r="GH61" s="30">
        <f t="shared" si="24"/>
        <v>121.74119803995806</v>
      </c>
      <c r="GI61" s="30">
        <f t="shared" si="0"/>
        <v>-32.69008115226837</v>
      </c>
      <c r="GJ61" s="34">
        <f t="shared" si="25"/>
        <v>126.05380083895201</v>
      </c>
      <c r="GK61" s="34">
        <f t="shared" si="26"/>
        <v>258.19500794849915</v>
      </c>
      <c r="GL61" s="34">
        <f t="shared" si="27"/>
        <v>-852.20456922099186</v>
      </c>
      <c r="GM61" s="34">
        <f t="shared" si="28"/>
        <v>890.45903326916834</v>
      </c>
      <c r="GN61" s="55">
        <f t="shared" si="1"/>
        <v>683.60998410300181</v>
      </c>
      <c r="GO61" s="55">
        <f t="shared" si="2"/>
        <v>206.4802622829684</v>
      </c>
      <c r="GP61" s="34">
        <f t="shared" si="29"/>
        <v>714.11253250293112</v>
      </c>
      <c r="GQ61" s="55">
        <f t="shared" si="30"/>
        <v>516.66941367489062</v>
      </c>
      <c r="GR61" s="55">
        <f t="shared" si="31"/>
        <v>-207.72599598231565</v>
      </c>
      <c r="GS61" s="34">
        <f t="shared" si="32"/>
        <v>556.86387244460411</v>
      </c>
      <c r="GT61" s="56">
        <f t="shared" si="33"/>
        <v>1089.8610700065994</v>
      </c>
      <c r="GU61" s="56">
        <f t="shared" si="33"/>
        <v>24.921735479047669</v>
      </c>
      <c r="GV61" s="34">
        <f t="shared" si="34"/>
        <v>1090.1459740856806</v>
      </c>
      <c r="GW61" s="30">
        <f t="shared" si="35"/>
        <v>110.34905727653464</v>
      </c>
      <c r="GX61" s="30">
        <f t="shared" si="3"/>
        <v>-26.193756898696986</v>
      </c>
      <c r="GY61" s="34">
        <f t="shared" si="36"/>
        <v>113.41528707492635</v>
      </c>
      <c r="GZ61" s="34">
        <f t="shared" si="56"/>
        <v>599.93072950524163</v>
      </c>
      <c r="HA61" s="34">
        <f t="shared" si="56"/>
        <v>-2.6287720302075712E-2</v>
      </c>
      <c r="HB61" s="34">
        <f t="shared" si="37"/>
        <v>599.93073008117835</v>
      </c>
      <c r="HC61" s="33">
        <f t="shared" si="5"/>
        <v>0.18393824385653179</v>
      </c>
      <c r="HD61" s="33">
        <f t="shared" si="6"/>
        <v>-4.3653242438818622E-2</v>
      </c>
      <c r="HE61" s="33">
        <f t="shared" si="38"/>
        <v>0.18904730394387334</v>
      </c>
      <c r="HF61" s="33">
        <f t="shared" si="39"/>
        <v>0.10065333408282498</v>
      </c>
      <c r="HG61" s="33">
        <f t="shared" si="7"/>
        <v>-2.655543602279356E-2</v>
      </c>
      <c r="HH61" s="33">
        <f t="shared" si="40"/>
        <v>0.10409747760800671</v>
      </c>
      <c r="HI61" s="30">
        <f t="shared" si="54"/>
        <v>7.7563727467737015E-2</v>
      </c>
      <c r="HJ61" s="30">
        <f t="shared" si="41"/>
        <v>-5.7526665099202616E-2</v>
      </c>
      <c r="HK61" s="33">
        <f t="shared" si="42"/>
        <v>9.6568364468521461E-2</v>
      </c>
      <c r="HL61" s="61">
        <f t="shared" si="43"/>
        <v>4.8410247620020955E-2</v>
      </c>
      <c r="HM61" s="61">
        <f t="shared" si="44"/>
        <v>-6.5112799286705866E-2</v>
      </c>
      <c r="HN61" s="33">
        <f t="shared" si="45"/>
        <v>8.1137098207802502E-2</v>
      </c>
      <c r="HO61" s="30">
        <f t="shared" si="46"/>
        <v>-19.651195875532959</v>
      </c>
      <c r="HP61" s="30">
        <f t="shared" si="47"/>
        <v>2.1453459438328331</v>
      </c>
      <c r="HQ61" s="29">
        <v>1700</v>
      </c>
      <c r="HR61" s="30">
        <v>10681.415022205296</v>
      </c>
      <c r="HS61" s="30">
        <f t="shared" si="48"/>
        <v>-21.796541819365792</v>
      </c>
      <c r="HT61" s="30">
        <f t="shared" si="49"/>
        <v>-21.815610569773177</v>
      </c>
      <c r="HU61" s="30">
        <f t="shared" si="50"/>
        <v>-1.9068750407384982E-2</v>
      </c>
      <c r="HV61" s="30">
        <f t="shared" si="8"/>
        <v>-1.8856244578969594</v>
      </c>
      <c r="HW61" s="30">
        <f t="shared" si="9"/>
        <v>-1.883904453521378</v>
      </c>
      <c r="HX61" s="73">
        <f t="shared" si="51"/>
        <v>-6.926991882164657E-2</v>
      </c>
      <c r="HY61" s="30">
        <f t="shared" si="52"/>
        <v>0.27879023634325861</v>
      </c>
      <c r="HZ61" s="74">
        <f t="shared" si="53"/>
        <v>-1.7200043755813965E-3</v>
      </c>
    </row>
    <row r="62" spans="7:234" ht="15" customHeight="1">
      <c r="O62" s="30" t="s">
        <v>197</v>
      </c>
      <c r="FT62" s="29">
        <v>2000</v>
      </c>
      <c r="FU62" s="27">
        <f t="shared" si="11"/>
        <v>12566.370614359172</v>
      </c>
      <c r="FV62" s="30">
        <f t="shared" si="12"/>
        <v>489.97442453023802</v>
      </c>
      <c r="FW62" s="30">
        <f t="shared" si="13"/>
        <v>22.260443550073035</v>
      </c>
      <c r="FX62" s="34">
        <f t="shared" si="14"/>
        <v>490.47983041179572</v>
      </c>
      <c r="FY62" s="30">
        <f t="shared" si="15"/>
        <v>0.5127877348810016</v>
      </c>
      <c r="FZ62" s="30">
        <f t="shared" si="16"/>
        <v>-11.130221775036517</v>
      </c>
      <c r="GA62" s="34">
        <f t="shared" si="17"/>
        <v>11.142028003130374</v>
      </c>
      <c r="GB62" s="34">
        <f t="shared" si="18"/>
        <v>109.57480094200344</v>
      </c>
      <c r="GC62" s="34">
        <f t="shared" si="19"/>
        <v>230.70369890130982</v>
      </c>
      <c r="GD62" s="34">
        <f t="shared" si="20"/>
        <v>255.40327658083382</v>
      </c>
      <c r="GE62" s="55">
        <f t="shared" si="21"/>
        <v>245.21259952899828</v>
      </c>
      <c r="GF62" s="55">
        <f t="shared" si="22"/>
        <v>-115.35184945065491</v>
      </c>
      <c r="GG62" s="34">
        <f t="shared" si="23"/>
        <v>270.98942440518863</v>
      </c>
      <c r="GH62" s="30">
        <f t="shared" si="24"/>
        <v>121.53593242851643</v>
      </c>
      <c r="GI62" s="30">
        <f t="shared" si="0"/>
        <v>-27.795628699210564</v>
      </c>
      <c r="GJ62" s="34">
        <f t="shared" si="25"/>
        <v>124.67389400372994</v>
      </c>
      <c r="GK62" s="34">
        <f t="shared" si="26"/>
        <v>245.21259952899828</v>
      </c>
      <c r="GL62" s="34">
        <f t="shared" si="27"/>
        <v>-751.97162181823626</v>
      </c>
      <c r="GM62" s="34">
        <f t="shared" si="28"/>
        <v>790.94281650933362</v>
      </c>
      <c r="GN62" s="55">
        <f t="shared" si="1"/>
        <v>709.57480094200344</v>
      </c>
      <c r="GO62" s="55">
        <f t="shared" si="2"/>
        <v>230.70369890130982</v>
      </c>
      <c r="GP62" s="34">
        <f t="shared" si="29"/>
        <v>746.13711529358329</v>
      </c>
      <c r="GQ62" s="55">
        <f t="shared" si="30"/>
        <v>490.4917989044186</v>
      </c>
      <c r="GR62" s="55">
        <f t="shared" si="31"/>
        <v>-231.81183455635062</v>
      </c>
      <c r="GS62" s="34">
        <f t="shared" si="32"/>
        <v>542.5116878306618</v>
      </c>
      <c r="GT62" s="56">
        <f t="shared" si="33"/>
        <v>1090.0410243766601</v>
      </c>
      <c r="GU62" s="56">
        <f t="shared" si="33"/>
        <v>21.152307895032237</v>
      </c>
      <c r="GV62" s="34">
        <f t="shared" si="34"/>
        <v>1090.2462359271894</v>
      </c>
      <c r="GW62" s="30">
        <f t="shared" si="35"/>
        <v>109.95184757355081</v>
      </c>
      <c r="GX62" s="30">
        <f t="shared" si="3"/>
        <v>-22.282666048873143</v>
      </c>
      <c r="GY62" s="34">
        <f t="shared" si="36"/>
        <v>112.18701346895261</v>
      </c>
      <c r="GZ62" s="34">
        <f t="shared" si="56"/>
        <v>599.92627210378885</v>
      </c>
      <c r="HA62" s="34">
        <f t="shared" si="56"/>
        <v>-2.222249880010807E-2</v>
      </c>
      <c r="HB62" s="34">
        <f t="shared" si="37"/>
        <v>599.92627251537226</v>
      </c>
      <c r="HC62" s="33">
        <f t="shared" si="5"/>
        <v>0.18327697574025373</v>
      </c>
      <c r="HD62" s="33">
        <f t="shared" si="6"/>
        <v>-3.71355518376855E-2</v>
      </c>
      <c r="HE62" s="33">
        <f t="shared" si="38"/>
        <v>0.1870013343449265</v>
      </c>
      <c r="HF62" s="33">
        <f t="shared" si="39"/>
        <v>0.10041792987309667</v>
      </c>
      <c r="HG62" s="33">
        <f t="shared" si="7"/>
        <v>-2.2578022750251614E-2</v>
      </c>
      <c r="HH62" s="33">
        <f t="shared" si="40"/>
        <v>0.10292486459213361</v>
      </c>
      <c r="HI62" s="30">
        <f t="shared" si="54"/>
        <v>7.3464522142309432E-2</v>
      </c>
      <c r="HJ62" s="30">
        <f t="shared" si="41"/>
        <v>-5.7111978725551502E-2</v>
      </c>
      <c r="HK62" s="33">
        <f t="shared" si="42"/>
        <v>9.3052749167048893E-2</v>
      </c>
      <c r="HL62" s="61">
        <f t="shared" si="43"/>
        <v>4.1980802536569786E-2</v>
      </c>
      <c r="HM62" s="61">
        <f t="shared" si="44"/>
        <v>-6.1941762313167961E-2</v>
      </c>
      <c r="HN62" s="33">
        <f t="shared" si="45"/>
        <v>7.4827599855103316E-2</v>
      </c>
      <c r="HO62" s="30">
        <f t="shared" si="46"/>
        <v>-19.749593913751205</v>
      </c>
      <c r="HP62" s="30">
        <f t="shared" si="47"/>
        <v>2.7504425350238506</v>
      </c>
      <c r="HQ62" s="29">
        <v>2000</v>
      </c>
      <c r="HR62" s="30">
        <v>12566.370614359172</v>
      </c>
      <c r="HS62" s="30">
        <f t="shared" si="48"/>
        <v>-22.500036448775056</v>
      </c>
      <c r="HT62" s="30">
        <f t="shared" si="49"/>
        <v>-22.518763696742447</v>
      </c>
      <c r="HU62" s="30">
        <f t="shared" si="50"/>
        <v>-1.8727247967390781E-2</v>
      </c>
      <c r="HV62" s="30">
        <f t="shared" si="8"/>
        <v>-2.5887775848662287</v>
      </c>
      <c r="HW62" s="30">
        <f t="shared" si="9"/>
        <v>-2.5873990829306415</v>
      </c>
      <c r="HX62" s="73">
        <f t="shared" si="51"/>
        <v>-7.3727484627738704E-2</v>
      </c>
      <c r="HY62" s="30">
        <f t="shared" si="52"/>
        <v>0.18039219812501273</v>
      </c>
      <c r="HZ62" s="74">
        <f t="shared" si="53"/>
        <v>-1.3785019355871952E-3</v>
      </c>
    </row>
    <row r="63" spans="7:234" ht="15" customHeight="1">
      <c r="G63" s="30" t="s">
        <v>249</v>
      </c>
      <c r="O63" s="30" t="s">
        <v>246</v>
      </c>
      <c r="T63" s="30" t="s">
        <v>248</v>
      </c>
      <c r="AA63" s="30" t="s">
        <v>256</v>
      </c>
      <c r="FT63" s="29">
        <v>2500</v>
      </c>
      <c r="FU63" s="27">
        <f t="shared" si="11"/>
        <v>15707.963267948966</v>
      </c>
      <c r="FV63" s="30">
        <f t="shared" si="12"/>
        <v>490.34313082574357</v>
      </c>
      <c r="FW63" s="30">
        <f t="shared" si="13"/>
        <v>17.821944367378197</v>
      </c>
      <c r="FX63" s="34">
        <f t="shared" si="14"/>
        <v>490.66690091041011</v>
      </c>
      <c r="FY63" s="30">
        <f t="shared" si="15"/>
        <v>0.32843458712818352</v>
      </c>
      <c r="FZ63" s="30">
        <f t="shared" si="16"/>
        <v>-8.9109721836890987</v>
      </c>
      <c r="GA63" s="34">
        <f t="shared" si="17"/>
        <v>8.9170227394855797</v>
      </c>
      <c r="GB63" s="34">
        <f t="shared" si="18"/>
        <v>154.9364650907516</v>
      </c>
      <c r="GC63" s="34">
        <f t="shared" si="19"/>
        <v>261.7060765507112</v>
      </c>
      <c r="GD63" s="34">
        <f t="shared" si="20"/>
        <v>304.13052907984161</v>
      </c>
      <c r="GE63" s="55">
        <f t="shared" si="21"/>
        <v>222.53176745462423</v>
      </c>
      <c r="GF63" s="55">
        <f t="shared" si="22"/>
        <v>-130.8530382753556</v>
      </c>
      <c r="GG63" s="34">
        <f t="shared" si="23"/>
        <v>258.15287167174921</v>
      </c>
      <c r="GH63" s="30">
        <f t="shared" si="24"/>
        <v>121.34324720133986</v>
      </c>
      <c r="GI63" s="30">
        <f t="shared" si="0"/>
        <v>-22.243306980212466</v>
      </c>
      <c r="GJ63" s="34">
        <f t="shared" si="25"/>
        <v>123.36510181887519</v>
      </c>
      <c r="GK63" s="34">
        <f t="shared" si="26"/>
        <v>222.53176745462423</v>
      </c>
      <c r="GL63" s="34">
        <f t="shared" si="27"/>
        <v>-640.1488561694207</v>
      </c>
      <c r="GM63" s="34">
        <f t="shared" si="28"/>
        <v>677.7248302825393</v>
      </c>
      <c r="GN63" s="55">
        <f t="shared" si="1"/>
        <v>754.93646509075165</v>
      </c>
      <c r="GO63" s="55">
        <f t="shared" si="2"/>
        <v>261.7060765507112</v>
      </c>
      <c r="GP63" s="34">
        <f t="shared" si="29"/>
        <v>799.01134962357469</v>
      </c>
      <c r="GQ63" s="55">
        <f t="shared" si="30"/>
        <v>444.92176724374013</v>
      </c>
      <c r="GR63" s="55">
        <f t="shared" si="31"/>
        <v>-262.57259313998378</v>
      </c>
      <c r="GS63" s="34">
        <f t="shared" si="32"/>
        <v>516.62340794387967</v>
      </c>
      <c r="GT63" s="56">
        <f t="shared" si="33"/>
        <v>1090.2013631602354</v>
      </c>
      <c r="GU63" s="56">
        <f t="shared" si="33"/>
        <v>16.955427778105616</v>
      </c>
      <c r="GV63" s="34">
        <f t="shared" si="34"/>
        <v>1090.3332053861213</v>
      </c>
      <c r="GW63" s="30">
        <f t="shared" si="35"/>
        <v>109.57916691368938</v>
      </c>
      <c r="GX63" s="30">
        <f t="shared" si="3"/>
        <v>-17.839058788416235</v>
      </c>
      <c r="GY63" s="34">
        <f t="shared" si="36"/>
        <v>111.02173588966606</v>
      </c>
      <c r="GZ63" s="34">
        <f t="shared" si="56"/>
        <v>599.92229773943291</v>
      </c>
      <c r="HA63" s="34">
        <f t="shared" si="56"/>
        <v>-1.7114421038037619E-2</v>
      </c>
      <c r="HB63" s="34">
        <f t="shared" si="37"/>
        <v>599.92229798355072</v>
      </c>
      <c r="HC63" s="33">
        <f t="shared" si="5"/>
        <v>0.18265644758539737</v>
      </c>
      <c r="HD63" s="33">
        <f t="shared" si="6"/>
        <v>-2.9730404747872387E-2</v>
      </c>
      <c r="HE63" s="33">
        <f t="shared" si="38"/>
        <v>0.18506019239963339</v>
      </c>
      <c r="HF63" s="33">
        <f t="shared" si="39"/>
        <v>0.10019796972150678</v>
      </c>
      <c r="HG63" s="33">
        <f t="shared" si="7"/>
        <v>-1.8061986514733157E-2</v>
      </c>
      <c r="HH63" s="33">
        <f t="shared" si="40"/>
        <v>0.10181290926582146</v>
      </c>
      <c r="HI63" s="30">
        <f t="shared" si="54"/>
        <v>6.6494386365277269E-2</v>
      </c>
      <c r="HJ63" s="30">
        <f t="shared" si="41"/>
        <v>-5.7159827706101708E-2</v>
      </c>
      <c r="HK63" s="33">
        <f t="shared" si="42"/>
        <v>8.7685513749341776E-2</v>
      </c>
      <c r="HL63" s="61">
        <f t="shared" si="43"/>
        <v>3.3119272947392399E-2</v>
      </c>
      <c r="HM63" s="61">
        <f t="shared" si="44"/>
        <v>-5.6909970032737164E-2</v>
      </c>
      <c r="HN63" s="33">
        <f t="shared" si="45"/>
        <v>6.5845508044899456E-2</v>
      </c>
      <c r="HO63" s="30">
        <f t="shared" si="46"/>
        <v>-19.843943051484953</v>
      </c>
      <c r="HP63" s="30">
        <f t="shared" si="47"/>
        <v>3.7676353328388892</v>
      </c>
      <c r="HQ63" s="29">
        <v>2500</v>
      </c>
      <c r="HR63" s="30">
        <v>15707.963267948966</v>
      </c>
      <c r="HS63" s="30">
        <f t="shared" si="48"/>
        <v>-23.611578384323842</v>
      </c>
      <c r="HT63" s="30">
        <f t="shared" si="49"/>
        <v>-23.629476941865995</v>
      </c>
      <c r="HU63" s="30">
        <f t="shared" si="50"/>
        <v>-1.7898557542153526E-2</v>
      </c>
      <c r="HV63" s="30">
        <f t="shared" si="8"/>
        <v>-3.6994908299897773</v>
      </c>
      <c r="HW63" s="30">
        <f t="shared" si="9"/>
        <v>-3.6989410184794274</v>
      </c>
      <c r="HX63" s="73">
        <f t="shared" si="51"/>
        <v>-7.7702016449279654E-2</v>
      </c>
      <c r="HY63" s="30">
        <f t="shared" si="52"/>
        <v>8.6043060391265414E-2</v>
      </c>
      <c r="HZ63" s="74">
        <f t="shared" si="53"/>
        <v>-5.4981151034994014E-4</v>
      </c>
    </row>
    <row r="64" spans="7:234" ht="15" customHeight="1">
      <c r="G64" s="30" t="s">
        <v>250</v>
      </c>
      <c r="O64" s="30" t="s">
        <v>247</v>
      </c>
      <c r="T64" s="30" t="s">
        <v>251</v>
      </c>
      <c r="FT64" s="29">
        <v>3000</v>
      </c>
      <c r="FU64" s="27">
        <f t="shared" si="11"/>
        <v>18849.555921538758</v>
      </c>
      <c r="FV64" s="30">
        <f t="shared" si="12"/>
        <v>490.54365168452296</v>
      </c>
      <c r="FW64" s="30">
        <f t="shared" si="13"/>
        <v>14.857779191332051</v>
      </c>
      <c r="FX64" s="34">
        <f t="shared" si="14"/>
        <v>490.76860923502937</v>
      </c>
      <c r="FY64" s="30">
        <f t="shared" si="15"/>
        <v>0.22817415773850697</v>
      </c>
      <c r="FZ64" s="30">
        <f t="shared" si="16"/>
        <v>-7.4288895956660257</v>
      </c>
      <c r="GA64" s="34">
        <f t="shared" si="17"/>
        <v>7.4323928899685203</v>
      </c>
      <c r="GB64" s="34">
        <f t="shared" si="18"/>
        <v>200.14018153330852</v>
      </c>
      <c r="GC64" s="34">
        <f t="shared" si="19"/>
        <v>282.15048698393707</v>
      </c>
      <c r="GD64" s="34">
        <f t="shared" si="20"/>
        <v>345.9262776509737</v>
      </c>
      <c r="GE64" s="55">
        <f t="shared" si="21"/>
        <v>199.92990923334574</v>
      </c>
      <c r="GF64" s="55">
        <f t="shared" si="22"/>
        <v>-141.07524349196854</v>
      </c>
      <c r="GG64" s="34">
        <f t="shared" si="23"/>
        <v>244.69203692064048</v>
      </c>
      <c r="GH64" s="30">
        <f t="shared" si="24"/>
        <v>121.23846069926532</v>
      </c>
      <c r="GI64" s="30">
        <f t="shared" si="0"/>
        <v>-18.539172783268192</v>
      </c>
      <c r="GJ64" s="34">
        <f t="shared" si="25"/>
        <v>122.64772839402764</v>
      </c>
      <c r="GK64" s="34">
        <f t="shared" si="26"/>
        <v>199.92990923334574</v>
      </c>
      <c r="GL64" s="34">
        <f t="shared" si="27"/>
        <v>-565.48842507035613</v>
      </c>
      <c r="GM64" s="34">
        <f t="shared" si="28"/>
        <v>599.79090314425878</v>
      </c>
      <c r="GN64" s="55">
        <f t="shared" si="1"/>
        <v>800.14018153330858</v>
      </c>
      <c r="GO64" s="55">
        <f t="shared" si="2"/>
        <v>282.15048698393707</v>
      </c>
      <c r="GP64" s="34">
        <f t="shared" si="29"/>
        <v>848.42984825466203</v>
      </c>
      <c r="GQ64" s="55">
        <f t="shared" si="30"/>
        <v>399.62763626372436</v>
      </c>
      <c r="GR64" s="55">
        <f t="shared" si="31"/>
        <v>-282.81019699309866</v>
      </c>
      <c r="GS64" s="34">
        <f t="shared" si="32"/>
        <v>489.57517828113674</v>
      </c>
      <c r="GT64" s="56">
        <f t="shared" si="33"/>
        <v>1090.3114694815558</v>
      </c>
      <c r="GU64" s="56">
        <f t="shared" si="33"/>
        <v>14.198069182170457</v>
      </c>
      <c r="GV64" s="34">
        <f t="shared" si="34"/>
        <v>1090.4039094076704</v>
      </c>
      <c r="GW64" s="30">
        <f t="shared" si="35"/>
        <v>109.37680667496079</v>
      </c>
      <c r="GX64" s="30">
        <f t="shared" si="3"/>
        <v>-14.871285259970508</v>
      </c>
      <c r="GY64" s="34">
        <f t="shared" si="36"/>
        <v>110.38315525339527</v>
      </c>
      <c r="GZ64" s="34">
        <f t="shared" si="56"/>
        <v>599.92045835948375</v>
      </c>
      <c r="HA64" s="34">
        <f t="shared" si="56"/>
        <v>-1.350606863845627E-2</v>
      </c>
      <c r="HB64" s="34">
        <f t="shared" si="37"/>
        <v>599.92045851151545</v>
      </c>
      <c r="HC64" s="33">
        <f t="shared" si="5"/>
        <v>0.18231940567144281</v>
      </c>
      <c r="HD64" s="33">
        <f t="shared" si="6"/>
        <v>-2.4784657089746562E-2</v>
      </c>
      <c r="HE64" s="33">
        <f t="shared" si="38"/>
        <v>0.18399631765729568</v>
      </c>
      <c r="HF64" s="33">
        <f t="shared" si="39"/>
        <v>0.10008086814289863</v>
      </c>
      <c r="HG64" s="33">
        <f t="shared" si="7"/>
        <v>-1.504732655142723E-2</v>
      </c>
      <c r="HH64" s="33">
        <f t="shared" si="40"/>
        <v>0.1012057419546023</v>
      </c>
      <c r="HI64" s="30">
        <f t="shared" si="54"/>
        <v>5.9651828586898568E-2</v>
      </c>
      <c r="HJ64" s="30">
        <f t="shared" si="41"/>
        <v>-5.715189053338824E-2</v>
      </c>
      <c r="HK64" s="33">
        <f t="shared" si="42"/>
        <v>8.2611616890732278E-2</v>
      </c>
      <c r="HL64" s="61">
        <f t="shared" si="43"/>
        <v>2.634309521952129E-2</v>
      </c>
      <c r="HM64" s="61">
        <f t="shared" si="44"/>
        <v>-5.2145677004908915E-2</v>
      </c>
      <c r="HN64" s="33">
        <f t="shared" si="45"/>
        <v>5.8422001814770537E-2</v>
      </c>
      <c r="HO64" s="30">
        <f t="shared" si="46"/>
        <v>-19.895896937976332</v>
      </c>
      <c r="HP64" s="30">
        <f t="shared" si="47"/>
        <v>4.7554877859777456</v>
      </c>
      <c r="HQ64" s="29">
        <v>3000</v>
      </c>
      <c r="HR64" s="30">
        <v>18849.555921538758</v>
      </c>
      <c r="HS64" s="30">
        <f t="shared" si="48"/>
        <v>-24.651384723954077</v>
      </c>
      <c r="HT64" s="30">
        <f t="shared" si="49"/>
        <v>-24.668471322390097</v>
      </c>
      <c r="HU64" s="30">
        <f t="shared" si="50"/>
        <v>-1.7086598436019784E-2</v>
      </c>
      <c r="HV64" s="30">
        <f t="shared" si="8"/>
        <v>-4.7384852105138791</v>
      </c>
      <c r="HW64" s="30">
        <f t="shared" si="9"/>
        <v>-4.7387473581096629</v>
      </c>
      <c r="HX64" s="73">
        <f t="shared" si="51"/>
        <v>-7.9541488484551337E-2</v>
      </c>
      <c r="HY64" s="30">
        <f t="shared" si="52"/>
        <v>3.4089173899886305E-2</v>
      </c>
      <c r="HZ64" s="74">
        <f t="shared" si="53"/>
        <v>2.6214759578380153E-4</v>
      </c>
    </row>
    <row r="65" spans="5:234" ht="15" customHeight="1">
      <c r="G65" s="30" t="s">
        <v>252</v>
      </c>
      <c r="I65" s="30" t="s">
        <v>253</v>
      </c>
      <c r="O65" s="104">
        <v>10</v>
      </c>
      <c r="P65" s="104"/>
      <c r="FT65" s="29">
        <v>4000</v>
      </c>
      <c r="FU65" s="27">
        <f t="shared" si="11"/>
        <v>25132.741228718343</v>
      </c>
      <c r="FV65" s="30">
        <f t="shared" si="12"/>
        <v>490.74319818332572</v>
      </c>
      <c r="FW65" s="30">
        <f t="shared" si="13"/>
        <v>11.147931112198478</v>
      </c>
      <c r="FX65" s="34">
        <f t="shared" si="14"/>
        <v>490.86980242349523</v>
      </c>
      <c r="FY65" s="30">
        <f t="shared" si="15"/>
        <v>0.128400908337133</v>
      </c>
      <c r="FZ65" s="30">
        <f t="shared" si="16"/>
        <v>-5.5739655560992389</v>
      </c>
      <c r="GA65" s="34">
        <f t="shared" si="17"/>
        <v>5.5754442705350842</v>
      </c>
      <c r="GB65" s="34">
        <f t="shared" si="18"/>
        <v>282.28124589613765</v>
      </c>
      <c r="GC65" s="34">
        <f t="shared" si="19"/>
        <v>298.91976155739343</v>
      </c>
      <c r="GD65" s="34">
        <f t="shared" si="20"/>
        <v>411.13954520844214</v>
      </c>
      <c r="GE65" s="55">
        <f t="shared" si="21"/>
        <v>158.85937705193123</v>
      </c>
      <c r="GF65" s="55">
        <f t="shared" si="22"/>
        <v>-149.45988077869671</v>
      </c>
      <c r="GG65" s="34">
        <f t="shared" si="23"/>
        <v>218.11592706565446</v>
      </c>
      <c r="GH65" s="30">
        <f t="shared" si="24"/>
        <v>121.13418709011594</v>
      </c>
      <c r="GI65" s="30">
        <f t="shared" si="0"/>
        <v>-13.906681071820497</v>
      </c>
      <c r="GJ65" s="34">
        <f t="shared" si="25"/>
        <v>121.92984483060962</v>
      </c>
      <c r="GK65" s="34">
        <f t="shared" si="26"/>
        <v>158.85937705193123</v>
      </c>
      <c r="GL65" s="34">
        <f t="shared" si="27"/>
        <v>-467.76976696248744</v>
      </c>
      <c r="GM65" s="34">
        <f t="shared" si="28"/>
        <v>494.00896404970979</v>
      </c>
      <c r="GN65" s="55">
        <f t="shared" si="1"/>
        <v>882.28124589613765</v>
      </c>
      <c r="GO65" s="55">
        <f t="shared" si="2"/>
        <v>298.91976155739343</v>
      </c>
      <c r="GP65" s="34">
        <f t="shared" si="29"/>
        <v>931.54346152478035</v>
      </c>
      <c r="GQ65" s="55">
        <f t="shared" si="30"/>
        <v>317.46081285514924</v>
      </c>
      <c r="GR65" s="55">
        <f t="shared" si="31"/>
        <v>-299.30157256743178</v>
      </c>
      <c r="GS65" s="34">
        <f t="shared" si="32"/>
        <v>436.30585492288515</v>
      </c>
      <c r="GT65" s="56">
        <f t="shared" si="33"/>
        <v>1090.4852569346126</v>
      </c>
      <c r="GU65" s="56">
        <f t="shared" si="33"/>
        <v>10.76612010216013</v>
      </c>
      <c r="GV65" s="34">
        <f t="shared" si="34"/>
        <v>1090.5384014026292</v>
      </c>
      <c r="GW65" s="30">
        <f t="shared" si="35"/>
        <v>109.17603373995298</v>
      </c>
      <c r="GX65" s="30">
        <f t="shared" si="3"/>
        <v>-11.156978002707135</v>
      </c>
      <c r="GY65" s="34">
        <f t="shared" si="36"/>
        <v>109.74463313228691</v>
      </c>
      <c r="GZ65" s="34">
        <f t="shared" si="56"/>
        <v>599.91923192327874</v>
      </c>
      <c r="HA65" s="34">
        <f t="shared" si="56"/>
        <v>-9.046890508656702E-3</v>
      </c>
      <c r="HB65" s="34">
        <f t="shared" si="37"/>
        <v>599.91923199149312</v>
      </c>
      <c r="HC65" s="33">
        <f t="shared" si="5"/>
        <v>0.18198483421570502</v>
      </c>
      <c r="HD65" s="33">
        <f t="shared" si="6"/>
        <v>-1.8594722443011063E-2</v>
      </c>
      <c r="HE65" s="33">
        <f t="shared" si="38"/>
        <v>0.18293234702274572</v>
      </c>
      <c r="HF65" s="33">
        <f t="shared" si="39"/>
        <v>9.9969665105448066E-2</v>
      </c>
      <c r="HG65" s="33">
        <f t="shared" si="7"/>
        <v>-1.1277370579874931E-2</v>
      </c>
      <c r="HH65" s="33">
        <f t="shared" si="40"/>
        <v>0.10060374261672013</v>
      </c>
      <c r="HI65" s="30">
        <f t="shared" si="54"/>
        <v>4.7324399203864935E-2</v>
      </c>
      <c r="HJ65" s="30">
        <f t="shared" si="41"/>
        <v>-5.5829221481166667E-2</v>
      </c>
      <c r="HK65" s="33">
        <f t="shared" si="42"/>
        <v>7.3188118784403344E-2</v>
      </c>
      <c r="HL65" s="61">
        <f t="shared" si="43"/>
        <v>1.7330545621556406E-2</v>
      </c>
      <c r="HM65" s="61">
        <f t="shared" si="44"/>
        <v>-4.3838600937583967E-2</v>
      </c>
      <c r="HN65" s="33">
        <f t="shared" si="45"/>
        <v>4.7139906063818009E-2</v>
      </c>
      <c r="HO65" s="30">
        <f t="shared" si="46"/>
        <v>-19.947717250898968</v>
      </c>
      <c r="HP65" s="30">
        <f t="shared" si="47"/>
        <v>6.568654776724582</v>
      </c>
      <c r="HQ65" s="29">
        <v>4000</v>
      </c>
      <c r="HR65" s="30">
        <v>25132.741228718343</v>
      </c>
      <c r="HS65" s="30">
        <f t="shared" si="48"/>
        <v>-26.51637202762355</v>
      </c>
      <c r="HT65" s="30">
        <f t="shared" si="49"/>
        <v>-26.532225744679437</v>
      </c>
      <c r="HU65" s="30">
        <f t="shared" si="50"/>
        <v>-1.5853717055886563E-2</v>
      </c>
      <c r="HV65" s="30">
        <f t="shared" si="8"/>
        <v>-6.6022396328032187</v>
      </c>
      <c r="HW65" s="30">
        <f t="shared" si="9"/>
        <v>-6.6037346617791357</v>
      </c>
      <c r="HX65" s="73">
        <f t="shared" si="51"/>
        <v>-8.0768008506879596E-2</v>
      </c>
      <c r="HY65" s="30">
        <f t="shared" si="52"/>
        <v>-1.7731139022750142E-2</v>
      </c>
      <c r="HZ65" s="74">
        <f t="shared" si="53"/>
        <v>1.4950289759170232E-3</v>
      </c>
    </row>
    <row r="66" spans="5:234" ht="15" customHeight="1">
      <c r="FT66" s="29">
        <v>5000</v>
      </c>
      <c r="FU66" s="27">
        <f t="shared" si="11"/>
        <v>31415.926535897932</v>
      </c>
      <c r="FV66" s="30">
        <f t="shared" si="12"/>
        <v>490.83561545098456</v>
      </c>
      <c r="FW66" s="30">
        <f t="shared" si="13"/>
        <v>8.9200480163380931</v>
      </c>
      <c r="FX66" s="34">
        <f t="shared" si="14"/>
        <v>490.91666161555423</v>
      </c>
      <c r="FY66" s="30">
        <f t="shared" si="15"/>
        <v>8.2192274507715712E-2</v>
      </c>
      <c r="FZ66" s="30">
        <f t="shared" si="16"/>
        <v>-4.4600240081690465</v>
      </c>
      <c r="GA66" s="34">
        <f t="shared" si="17"/>
        <v>4.4607812906970725</v>
      </c>
      <c r="GB66" s="34">
        <f t="shared" si="18"/>
        <v>348.66357237437148</v>
      </c>
      <c r="GC66" s="34">
        <f t="shared" si="19"/>
        <v>295.58148537865384</v>
      </c>
      <c r="GD66" s="34">
        <f t="shared" si="20"/>
        <v>457.09375537137885</v>
      </c>
      <c r="GE66" s="55">
        <f t="shared" si="21"/>
        <v>125.66821381281424</v>
      </c>
      <c r="GF66" s="55">
        <f t="shared" si="22"/>
        <v>-147.79074268932692</v>
      </c>
      <c r="GG66" s="34">
        <f t="shared" si="23"/>
        <v>193.9964009654974</v>
      </c>
      <c r="GH66" s="30">
        <f t="shared" si="24"/>
        <v>121.08589543148898</v>
      </c>
      <c r="GI66" s="30">
        <f t="shared" si="0"/>
        <v>-11.126197577896814</v>
      </c>
      <c r="GJ66" s="34">
        <f t="shared" si="25"/>
        <v>121.59599641841783</v>
      </c>
      <c r="GK66" s="34">
        <f t="shared" si="26"/>
        <v>125.66821381281424</v>
      </c>
      <c r="GL66" s="34">
        <f t="shared" si="27"/>
        <v>-402.43865163635945</v>
      </c>
      <c r="GM66" s="34">
        <f t="shared" si="28"/>
        <v>421.60333050605078</v>
      </c>
      <c r="GN66" s="55">
        <f t="shared" si="1"/>
        <v>948.66357237437148</v>
      </c>
      <c r="GO66" s="55">
        <f t="shared" si="2"/>
        <v>295.58148537865384</v>
      </c>
      <c r="GP66" s="34">
        <f t="shared" si="29"/>
        <v>993.64530293699659</v>
      </c>
      <c r="GQ66" s="55">
        <f t="shared" si="30"/>
        <v>251.11415078712932</v>
      </c>
      <c r="GR66" s="55">
        <f t="shared" si="31"/>
        <v>-295.81210306245691</v>
      </c>
      <c r="GS66" s="34">
        <f t="shared" si="32"/>
        <v>388.02463458364952</v>
      </c>
      <c r="GT66" s="56">
        <f t="shared" si="33"/>
        <v>1090.6133386124854</v>
      </c>
      <c r="GU66" s="56">
        <f t="shared" si="33"/>
        <v>8.6894303325350393</v>
      </c>
      <c r="GV66" s="34">
        <f t="shared" si="34"/>
        <v>1090.6479544559627</v>
      </c>
      <c r="GW66" s="30">
        <f t="shared" si="35"/>
        <v>109.08344366397925</v>
      </c>
      <c r="GX66" s="30">
        <f t="shared" si="3"/>
        <v>-8.9266385316238068</v>
      </c>
      <c r="GY66" s="34">
        <f t="shared" si="36"/>
        <v>109.4480815595541</v>
      </c>
      <c r="GZ66" s="34">
        <f t="shared" si="56"/>
        <v>599.91905911496383</v>
      </c>
      <c r="HA66" s="34">
        <f t="shared" si="56"/>
        <v>-6.5905152857137494E-3</v>
      </c>
      <c r="HB66" s="34">
        <f t="shared" si="37"/>
        <v>599.91905915116445</v>
      </c>
      <c r="HC66" s="33">
        <f t="shared" si="5"/>
        <v>0.18183043205342228</v>
      </c>
      <c r="HD66" s="33">
        <f t="shared" si="6"/>
        <v>-1.4877740654796483E-2</v>
      </c>
      <c r="HE66" s="33">
        <f t="shared" si="38"/>
        <v>0.18243808042107218</v>
      </c>
      <c r="HF66" s="33">
        <f t="shared" si="39"/>
        <v>9.9921813908349005E-2</v>
      </c>
      <c r="HG66" s="33">
        <f t="shared" si="7"/>
        <v>-9.0165176064817623E-3</v>
      </c>
      <c r="HH66" s="33">
        <f t="shared" si="40"/>
        <v>0.10032779517403304</v>
      </c>
      <c r="HI66" s="30">
        <f t="shared" si="54"/>
        <v>3.7408556621181914E-2</v>
      </c>
      <c r="HJ66" s="30">
        <f t="shared" si="41"/>
        <v>-5.3042366817955766E-2</v>
      </c>
      <c r="HK66" s="33">
        <f t="shared" si="42"/>
        <v>6.4906800769493705E-2</v>
      </c>
      <c r="HL66" s="61">
        <f t="shared" si="43"/>
        <v>1.2038390547460684E-2</v>
      </c>
      <c r="HM66" s="61">
        <f t="shared" si="44"/>
        <v>-3.7298518126715557E-2</v>
      </c>
      <c r="HN66" s="33">
        <f t="shared" si="45"/>
        <v>3.9193140999696868E-2</v>
      </c>
      <c r="HO66" s="30">
        <f t="shared" si="46"/>
        <v>-19.971574636019412</v>
      </c>
      <c r="HP66" s="30">
        <f t="shared" si="47"/>
        <v>8.149151782229854</v>
      </c>
      <c r="HQ66" s="29">
        <v>5000</v>
      </c>
      <c r="HR66" s="30">
        <v>31415.926535897932</v>
      </c>
      <c r="HS66" s="30">
        <f t="shared" si="48"/>
        <v>-28.120726418249266</v>
      </c>
      <c r="HT66" s="30">
        <f t="shared" si="49"/>
        <v>-28.1357986017453</v>
      </c>
      <c r="HU66" s="30">
        <f t="shared" si="50"/>
        <v>-1.5072183496034341E-2</v>
      </c>
      <c r="HV66" s="30">
        <f t="shared" si="8"/>
        <v>-8.2058124898690821</v>
      </c>
      <c r="HW66" s="30">
        <f t="shared" si="9"/>
        <v>-8.2080890524048513</v>
      </c>
      <c r="HX66" s="73">
        <f t="shared" si="51"/>
        <v>-8.094084883555297E-2</v>
      </c>
      <c r="HY66" s="30">
        <f t="shared" si="52"/>
        <v>-4.1588524143193695E-2</v>
      </c>
      <c r="HZ66" s="74">
        <f t="shared" si="53"/>
        <v>2.2765625357692443E-3</v>
      </c>
    </row>
    <row r="67" spans="5:234" ht="15" customHeight="1">
      <c r="G67" s="30" t="s">
        <v>254</v>
      </c>
      <c r="I67" s="167">
        <f>AJ34*(O65-1)/(O65+1)</f>
        <v>490.90909090909093</v>
      </c>
      <c r="J67" s="167"/>
      <c r="K67" s="167"/>
      <c r="L67" s="167"/>
      <c r="FT67" s="29">
        <v>6000</v>
      </c>
      <c r="FU67" s="27">
        <f t="shared" si="11"/>
        <v>37699.111843077517</v>
      </c>
      <c r="FV67" s="30">
        <f t="shared" si="12"/>
        <v>490.88583221985243</v>
      </c>
      <c r="FW67" s="30">
        <f t="shared" si="13"/>
        <v>7.4341445368276808</v>
      </c>
      <c r="FX67" s="34">
        <f t="shared" si="14"/>
        <v>490.94212161839562</v>
      </c>
      <c r="FY67" s="30">
        <f t="shared" si="15"/>
        <v>5.7083890073779654E-2</v>
      </c>
      <c r="FZ67" s="30">
        <f t="shared" si="16"/>
        <v>-3.7170722684138404</v>
      </c>
      <c r="GA67" s="34">
        <f t="shared" si="17"/>
        <v>3.7175105674519835</v>
      </c>
      <c r="GB67" s="34">
        <f t="shared" si="18"/>
        <v>399.790010430839</v>
      </c>
      <c r="GC67" s="34">
        <f t="shared" si="19"/>
        <v>282.54574952093287</v>
      </c>
      <c r="GD67" s="34">
        <f t="shared" si="20"/>
        <v>489.55505616083275</v>
      </c>
      <c r="GE67" s="55">
        <f t="shared" si="21"/>
        <v>100.10499478458051</v>
      </c>
      <c r="GF67" s="55">
        <f t="shared" si="22"/>
        <v>-141.27287476046644</v>
      </c>
      <c r="GG67" s="34">
        <f t="shared" si="23"/>
        <v>173.14454979556049</v>
      </c>
      <c r="GH67" s="30">
        <f t="shared" si="24"/>
        <v>121.05965552710882</v>
      </c>
      <c r="GI67" s="30">
        <f t="shared" si="0"/>
        <v>-9.2722174336668886</v>
      </c>
      <c r="GJ67" s="34">
        <f t="shared" si="25"/>
        <v>121.41422574179454</v>
      </c>
      <c r="GK67" s="34">
        <f t="shared" si="26"/>
        <v>100.10499478458051</v>
      </c>
      <c r="GL67" s="34">
        <f t="shared" si="27"/>
        <v>-353.47946554966023</v>
      </c>
      <c r="GM67" s="34">
        <f t="shared" si="28"/>
        <v>367.38092294795916</v>
      </c>
      <c r="GN67" s="55">
        <f t="shared" si="1"/>
        <v>999.79001043083895</v>
      </c>
      <c r="GO67" s="55">
        <f t="shared" si="2"/>
        <v>282.54574952093287</v>
      </c>
      <c r="GP67" s="34">
        <f t="shared" si="29"/>
        <v>1038.9476240550543</v>
      </c>
      <c r="GQ67" s="55">
        <f t="shared" si="30"/>
        <v>200.02866874188453</v>
      </c>
      <c r="GR67" s="55">
        <f t="shared" si="31"/>
        <v>-282.69263839392113</v>
      </c>
      <c r="GS67" s="34">
        <f t="shared" si="32"/>
        <v>346.30419593294971</v>
      </c>
      <c r="GT67" s="56">
        <f t="shared" si="33"/>
        <v>1090.704511392576</v>
      </c>
      <c r="GU67" s="56">
        <f t="shared" si="33"/>
        <v>7.287255663839403</v>
      </c>
      <c r="GV67" s="34">
        <f t="shared" si="34"/>
        <v>1090.7288550630849</v>
      </c>
      <c r="GW67" s="30">
        <f t="shared" si="35"/>
        <v>109.03330178049565</v>
      </c>
      <c r="GX67" s="30">
        <f t="shared" si="3"/>
        <v>-7.4392609020234675</v>
      </c>
      <c r="GY67" s="34">
        <f t="shared" si="36"/>
        <v>109.28679471887264</v>
      </c>
      <c r="GZ67" s="34">
        <f t="shared" si="56"/>
        <v>599.91913400034809</v>
      </c>
      <c r="HA67" s="34">
        <f t="shared" si="56"/>
        <v>-5.1163651957866207E-3</v>
      </c>
      <c r="HB67" s="34">
        <f t="shared" si="37"/>
        <v>599.91913402216539</v>
      </c>
      <c r="HC67" s="33">
        <f t="shared" si="5"/>
        <v>0.1817467705867151</v>
      </c>
      <c r="HD67" s="33">
        <f t="shared" si="6"/>
        <v>-1.2398889446269393E-2</v>
      </c>
      <c r="HE67" s="33">
        <f t="shared" si="38"/>
        <v>0.18216921001695335</v>
      </c>
      <c r="HF67" s="33">
        <f t="shared" si="39"/>
        <v>9.989740978198787E-2</v>
      </c>
      <c r="HG67" s="33">
        <f t="shared" si="7"/>
        <v>-7.5105218222196362E-3</v>
      </c>
      <c r="HH67" s="33">
        <f t="shared" si="40"/>
        <v>0.10017934127948958</v>
      </c>
      <c r="HI67" s="30">
        <f t="shared" si="54"/>
        <v>2.9786433523609112E-2</v>
      </c>
      <c r="HJ67" s="30">
        <f t="shared" si="41"/>
        <v>-4.9578660616253163E-2</v>
      </c>
      <c r="HK67" s="33">
        <f t="shared" si="42"/>
        <v>5.7838354148073728E-2</v>
      </c>
      <c r="HL67" s="61">
        <f t="shared" si="43"/>
        <v>8.7669600341021801E-3</v>
      </c>
      <c r="HM67" s="61">
        <f t="shared" si="44"/>
        <v>-3.2231031844097924E-2</v>
      </c>
      <c r="HN67" s="33">
        <f t="shared" si="45"/>
        <v>3.3402080803069729E-2</v>
      </c>
      <c r="HO67" s="30">
        <f t="shared" si="46"/>
        <v>-19.984436566051137</v>
      </c>
      <c r="HP67" s="30">
        <f t="shared" si="47"/>
        <v>9.5255201830929863</v>
      </c>
      <c r="HQ67" s="29">
        <v>6000</v>
      </c>
      <c r="HR67" s="30">
        <v>37699.111843077517</v>
      </c>
      <c r="HS67" s="30">
        <f t="shared" si="48"/>
        <v>-29.509956749144123</v>
      </c>
      <c r="HT67" s="30">
        <f t="shared" si="49"/>
        <v>-29.52452955410234</v>
      </c>
      <c r="HU67" s="30">
        <f t="shared" si="50"/>
        <v>-1.4572804958216778E-2</v>
      </c>
      <c r="HV67" s="30">
        <f t="shared" si="8"/>
        <v>-9.5945434422261222</v>
      </c>
      <c r="HW67" s="30">
        <f t="shared" si="9"/>
        <v>-9.597319383299709</v>
      </c>
      <c r="HX67" s="73">
        <f t="shared" si="51"/>
        <v>-8.0865977834605474E-2</v>
      </c>
      <c r="HY67" s="30">
        <f t="shared" si="52"/>
        <v>-5.4450454174919116E-2</v>
      </c>
      <c r="HZ67" s="74">
        <f t="shared" si="53"/>
        <v>2.7759410735868073E-3</v>
      </c>
    </row>
    <row r="68" spans="5:234" ht="15" customHeight="1">
      <c r="G68" s="30" t="s">
        <v>255</v>
      </c>
      <c r="I68" s="167">
        <f>AJ34*2*O65/(O65^2-1)</f>
        <v>121.21212121212122</v>
      </c>
      <c r="J68" s="167"/>
      <c r="K68" s="167"/>
      <c r="L68" s="167"/>
      <c r="FT68" s="29">
        <v>7000</v>
      </c>
      <c r="FU68" s="27">
        <f t="shared" si="11"/>
        <v>43982.297150257102</v>
      </c>
      <c r="FV68" s="30">
        <f t="shared" si="12"/>
        <v>490.91611638347632</v>
      </c>
      <c r="FW68" s="30">
        <f t="shared" si="13"/>
        <v>6.3725225291468082</v>
      </c>
      <c r="FX68" s="34">
        <f t="shared" si="14"/>
        <v>490.95747511207054</v>
      </c>
      <c r="FY68" s="30">
        <f t="shared" si="15"/>
        <v>4.1941808261801203E-2</v>
      </c>
      <c r="FZ68" s="30">
        <f t="shared" si="16"/>
        <v>-3.1862612645734041</v>
      </c>
      <c r="GA68" s="34">
        <f t="shared" si="17"/>
        <v>3.1865372995465124</v>
      </c>
      <c r="GB68" s="34">
        <f t="shared" si="18"/>
        <v>438.59285194294307</v>
      </c>
      <c r="GC68" s="34">
        <f t="shared" si="19"/>
        <v>265.74958128354211</v>
      </c>
      <c r="GD68" s="34">
        <f t="shared" si="20"/>
        <v>512.82212289235565</v>
      </c>
      <c r="GE68" s="55">
        <f t="shared" si="21"/>
        <v>80.703574028528465</v>
      </c>
      <c r="GF68" s="55">
        <f t="shared" si="22"/>
        <v>-132.87479064177106</v>
      </c>
      <c r="GG68" s="34">
        <f t="shared" si="23"/>
        <v>155.46310446235358</v>
      </c>
      <c r="GH68" s="30">
        <f t="shared" si="24"/>
        <v>121.04383117435414</v>
      </c>
      <c r="GI68" s="30">
        <f t="shared" si="0"/>
        <v>-7.9478145340842277</v>
      </c>
      <c r="GJ68" s="34">
        <f t="shared" si="25"/>
        <v>121.30447980694591</v>
      </c>
      <c r="GK68" s="34">
        <f t="shared" si="26"/>
        <v>80.703574028528465</v>
      </c>
      <c r="GL68" s="34">
        <f t="shared" si="27"/>
        <v>-314.76615417536573</v>
      </c>
      <c r="GM68" s="34">
        <f t="shared" si="28"/>
        <v>324.94737831736427</v>
      </c>
      <c r="GN68" s="55">
        <f t="shared" si="1"/>
        <v>1038.5928519429431</v>
      </c>
      <c r="GO68" s="55">
        <f t="shared" si="2"/>
        <v>265.74958128354211</v>
      </c>
      <c r="GP68" s="34">
        <f t="shared" si="29"/>
        <v>1072.0531479639217</v>
      </c>
      <c r="GQ68" s="55">
        <f t="shared" si="30"/>
        <v>161.26030014421781</v>
      </c>
      <c r="GR68" s="55">
        <f t="shared" si="31"/>
        <v>-265.84781528190661</v>
      </c>
      <c r="GS68" s="34">
        <f t="shared" si="32"/>
        <v>310.93398864190766</v>
      </c>
      <c r="GT68" s="56">
        <f t="shared" si="33"/>
        <v>1090.7692684706371</v>
      </c>
      <c r="GU68" s="56">
        <f t="shared" si="33"/>
        <v>6.2742885307823144</v>
      </c>
      <c r="GV68" s="34">
        <f t="shared" si="34"/>
        <v>1090.7873137035178</v>
      </c>
      <c r="GW68" s="30">
        <f t="shared" si="35"/>
        <v>109.00313723997668</v>
      </c>
      <c r="GX68" s="30">
        <f t="shared" si="3"/>
        <v>-6.3766832866184897</v>
      </c>
      <c r="GY68" s="34">
        <f t="shared" si="36"/>
        <v>109.18949591373261</v>
      </c>
      <c r="GZ68" s="34">
        <f t="shared" si="56"/>
        <v>599.91925362345296</v>
      </c>
      <c r="HA68" s="34">
        <f t="shared" si="56"/>
        <v>-4.1607574716815421E-3</v>
      </c>
      <c r="HB68" s="34">
        <f t="shared" si="37"/>
        <v>599.91925363788141</v>
      </c>
      <c r="HC68" s="33">
        <f t="shared" si="5"/>
        <v>0.1816964213134315</v>
      </c>
      <c r="HD68" s="33">
        <f t="shared" si="6"/>
        <v>-1.0627975770682408E-2</v>
      </c>
      <c r="HE68" s="33">
        <f t="shared" si="38"/>
        <v>0.18200698719304767</v>
      </c>
      <c r="HF68" s="33">
        <f t="shared" si="39"/>
        <v>9.9883404551710617E-2</v>
      </c>
      <c r="HG68" s="33">
        <f t="shared" si="7"/>
        <v>-6.4356147856463094E-3</v>
      </c>
      <c r="HH68" s="33">
        <f t="shared" si="40"/>
        <v>0.10009051724569072</v>
      </c>
      <c r="HI68" s="30">
        <f t="shared" si="54"/>
        <v>2.4007295325398428E-2</v>
      </c>
      <c r="HJ68" s="30">
        <f t="shared" si="41"/>
        <v>-4.5993316241369778E-2</v>
      </c>
      <c r="HK68" s="33">
        <f t="shared" si="42"/>
        <v>5.1881936815423017E-2</v>
      </c>
      <c r="HL68" s="61">
        <f t="shared" si="43"/>
        <v>6.6359297501645785E-3</v>
      </c>
      <c r="HM68" s="61">
        <f t="shared" si="44"/>
        <v>-2.8268522397810622E-2</v>
      </c>
      <c r="HN68" s="33">
        <f t="shared" si="45"/>
        <v>2.9036957867597635E-2</v>
      </c>
      <c r="HO68" s="30">
        <f t="shared" si="46"/>
        <v>-19.99214132812622</v>
      </c>
      <c r="HP68" s="30">
        <f t="shared" si="47"/>
        <v>10.734594608545603</v>
      </c>
      <c r="HQ68" s="29">
        <v>7000</v>
      </c>
      <c r="HR68" s="30">
        <v>43982.297150257102</v>
      </c>
      <c r="HS68" s="30">
        <f t="shared" si="48"/>
        <v>-30.726735936671822</v>
      </c>
      <c r="HT68" s="30">
        <f t="shared" si="49"/>
        <v>-30.740977711588773</v>
      </c>
      <c r="HU68" s="30">
        <f t="shared" si="50"/>
        <v>-1.4241774916950334E-2</v>
      </c>
      <c r="HV68" s="30">
        <f t="shared" si="8"/>
        <v>-10.810991599712555</v>
      </c>
      <c r="HW68" s="30">
        <f t="shared" si="9"/>
        <v>-10.814098570827408</v>
      </c>
      <c r="HX68" s="73">
        <f t="shared" si="51"/>
        <v>-8.0746362118588877E-2</v>
      </c>
      <c r="HY68" s="30">
        <f t="shared" si="52"/>
        <v>-6.2155216250001644E-2</v>
      </c>
      <c r="HZ68" s="74">
        <f t="shared" si="53"/>
        <v>3.1069711148532519E-3</v>
      </c>
    </row>
    <row r="69" spans="5:234" ht="15" customHeight="1">
      <c r="G69" s="30" t="s">
        <v>47</v>
      </c>
      <c r="I69" s="30" t="s">
        <v>257</v>
      </c>
      <c r="FT69" s="29">
        <v>8000</v>
      </c>
      <c r="FU69" s="27">
        <f t="shared" si="11"/>
        <v>50265.482457436687</v>
      </c>
      <c r="FV69" s="30">
        <f t="shared" si="12"/>
        <v>490.93577399827399</v>
      </c>
      <c r="FW69" s="30">
        <f t="shared" si="13"/>
        <v>5.576183627713986</v>
      </c>
      <c r="FX69" s="34">
        <f t="shared" si="14"/>
        <v>490.96744089107818</v>
      </c>
      <c r="FY69" s="30">
        <f t="shared" si="15"/>
        <v>3.2113000862988191E-2</v>
      </c>
      <c r="FZ69" s="30">
        <f t="shared" si="16"/>
        <v>-2.788091813856993</v>
      </c>
      <c r="GA69" s="34">
        <f t="shared" si="17"/>
        <v>2.788276745109926</v>
      </c>
      <c r="GB69" s="34">
        <f t="shared" si="18"/>
        <v>468.0912981132052</v>
      </c>
      <c r="GC69" s="34">
        <f t="shared" si="19"/>
        <v>248.20768183206636</v>
      </c>
      <c r="GD69" s="34">
        <f t="shared" si="20"/>
        <v>529.82687426154007</v>
      </c>
      <c r="GE69" s="55">
        <f t="shared" si="21"/>
        <v>65.954350943397415</v>
      </c>
      <c r="GF69" s="55">
        <f t="shared" si="22"/>
        <v>-124.10384091603318</v>
      </c>
      <c r="GG69" s="34">
        <f t="shared" si="23"/>
        <v>140.54088280097326</v>
      </c>
      <c r="GH69" s="30">
        <f t="shared" si="24"/>
        <v>121.03355954683082</v>
      </c>
      <c r="GI69" s="30">
        <f t="shared" si="0"/>
        <v>-6.9544510784246256</v>
      </c>
      <c r="GJ69" s="34">
        <f t="shared" si="25"/>
        <v>121.23319234590188</v>
      </c>
      <c r="GK69" s="34">
        <f t="shared" si="26"/>
        <v>65.954350943397415</v>
      </c>
      <c r="GL69" s="34">
        <f t="shared" si="27"/>
        <v>-283.25878400792851</v>
      </c>
      <c r="GM69" s="34">
        <f t="shared" si="28"/>
        <v>290.83589036777278</v>
      </c>
      <c r="GN69" s="55">
        <f t="shared" si="1"/>
        <v>1068.0912981132051</v>
      </c>
      <c r="GO69" s="55">
        <f t="shared" si="2"/>
        <v>248.20768183206636</v>
      </c>
      <c r="GP69" s="34">
        <f t="shared" si="29"/>
        <v>1096.5519022944604</v>
      </c>
      <c r="GQ69" s="55">
        <f t="shared" si="30"/>
        <v>131.78889956006233</v>
      </c>
      <c r="GR69" s="55">
        <f t="shared" si="31"/>
        <v>-248.27617813153824</v>
      </c>
      <c r="GS69" s="34">
        <f t="shared" si="32"/>
        <v>281.08606275455122</v>
      </c>
      <c r="GT69" s="56">
        <f t="shared" si="33"/>
        <v>1090.8159716715415</v>
      </c>
      <c r="GU69" s="56">
        <f t="shared" si="33"/>
        <v>5.5076873282420991</v>
      </c>
      <c r="GV69" s="34">
        <f t="shared" si="34"/>
        <v>1090.8298761371707</v>
      </c>
      <c r="GW69" s="30">
        <f t="shared" si="35"/>
        <v>108.98359234105116</v>
      </c>
      <c r="GX69" s="30">
        <f t="shared" si="3"/>
        <v>-5.5796842952804608</v>
      </c>
      <c r="GY69" s="34">
        <f t="shared" si="36"/>
        <v>109.12633172793552</v>
      </c>
      <c r="GZ69" s="34">
        <f t="shared" si="56"/>
        <v>599.91936633932517</v>
      </c>
      <c r="HA69" s="34">
        <f t="shared" si="56"/>
        <v>-3.5006675664748244E-3</v>
      </c>
      <c r="HB69" s="34">
        <f t="shared" si="37"/>
        <v>599.91936634953879</v>
      </c>
      <c r="HC69" s="33">
        <f t="shared" si="5"/>
        <v>0.18166378852060452</v>
      </c>
      <c r="HD69" s="33">
        <f t="shared" si="6"/>
        <v>-9.2996636944578537E-3</v>
      </c>
      <c r="HE69" s="33">
        <f>SQRT(HC69^2+HD69^2)</f>
        <v>0.18190166520537665</v>
      </c>
      <c r="HF69" s="33">
        <f t="shared" si="39"/>
        <v>9.9874651059505173E-2</v>
      </c>
      <c r="HG69" s="33">
        <f t="shared" si="7"/>
        <v>-5.6299191633859061E-3</v>
      </c>
      <c r="HH69" s="33">
        <f t="shared" si="40"/>
        <v>0.10003320405767366</v>
      </c>
      <c r="HI69" s="30">
        <f t="shared" si="54"/>
        <v>1.9616435917588441E-2</v>
      </c>
      <c r="HJ69" s="30">
        <f t="shared" si="41"/>
        <v>-4.2570356471526002E-2</v>
      </c>
      <c r="HK69" s="33">
        <f t="shared" si="42"/>
        <v>4.6872591225807538E-2</v>
      </c>
      <c r="HL69" s="61">
        <f t="shared" si="43"/>
        <v>5.1824499966722842E-3</v>
      </c>
      <c r="HM69" s="61">
        <f t="shared" si="44"/>
        <v>-2.5118206496198527E-2</v>
      </c>
      <c r="HN69" s="33">
        <f t="shared" si="45"/>
        <v>2.5647262730234557E-2</v>
      </c>
      <c r="HO69" s="30">
        <f t="shared" si="46"/>
        <v>-19.997116410902912</v>
      </c>
      <c r="HP69" s="30">
        <f t="shared" si="47"/>
        <v>11.808049539717899</v>
      </c>
      <c r="HQ69" s="29">
        <v>8000</v>
      </c>
      <c r="HR69" s="30">
        <v>50265.482457436687</v>
      </c>
      <c r="HS69" s="30">
        <f t="shared" si="48"/>
        <v>-31.805165950620811</v>
      </c>
      <c r="HT69" s="30">
        <f t="shared" si="49"/>
        <v>-31.819179585382646</v>
      </c>
      <c r="HU69" s="30">
        <f t="shared" si="50"/>
        <v>-1.4013634761834481E-2</v>
      </c>
      <c r="HV69" s="30">
        <f t="shared" si="8"/>
        <v>-11.889193473506428</v>
      </c>
      <c r="HW69" s="30">
        <f t="shared" si="9"/>
        <v>-11.892528584776397</v>
      </c>
      <c r="HX69" s="73">
        <f t="shared" si="51"/>
        <v>-8.0633650461209072E-2</v>
      </c>
      <c r="HY69" s="30">
        <f t="shared" si="52"/>
        <v>-6.7130299026693763E-2</v>
      </c>
      <c r="HZ69" s="74">
        <f t="shared" si="53"/>
        <v>3.3351112699691043E-3</v>
      </c>
    </row>
    <row r="70" spans="5:234" ht="15" customHeight="1">
      <c r="I70" s="168">
        <f>AJ46*(O65-1)/AJ34</f>
        <v>4.7699999999999996</v>
      </c>
      <c r="J70" s="168"/>
      <c r="K70" s="168"/>
      <c r="L70" s="168"/>
      <c r="M70" s="168"/>
      <c r="N70" s="30" t="s">
        <v>69</v>
      </c>
      <c r="FT70" s="29">
        <v>9000</v>
      </c>
      <c r="FU70" s="27">
        <f t="shared" si="11"/>
        <v>56548.667764616279</v>
      </c>
      <c r="FV70" s="30">
        <f t="shared" si="12"/>
        <v>490.94925211672921</v>
      </c>
      <c r="FW70" s="30">
        <f t="shared" si="13"/>
        <v>4.9567456600169013</v>
      </c>
      <c r="FX70" s="34">
        <f t="shared" si="14"/>
        <v>490.97427374712197</v>
      </c>
      <c r="FY70" s="30">
        <f t="shared" si="15"/>
        <v>2.5373941635417858E-2</v>
      </c>
      <c r="FZ70" s="30">
        <f t="shared" si="16"/>
        <v>-2.4783728300084507</v>
      </c>
      <c r="GA70" s="34">
        <f t="shared" si="17"/>
        <v>2.4785027176580248</v>
      </c>
      <c r="GB70" s="34">
        <f t="shared" si="18"/>
        <v>490.72496815024732</v>
      </c>
      <c r="GC70" s="34">
        <f t="shared" si="19"/>
        <v>231.32109325079344</v>
      </c>
      <c r="GD70" s="34">
        <f t="shared" si="20"/>
        <v>542.51308053244531</v>
      </c>
      <c r="GE70" s="55">
        <f t="shared" si="21"/>
        <v>54.637515924876354</v>
      </c>
      <c r="GF70" s="55">
        <f t="shared" si="22"/>
        <v>-115.66054662539672</v>
      </c>
      <c r="GG70" s="34">
        <f t="shared" si="23"/>
        <v>127.91645786264833</v>
      </c>
      <c r="GH70" s="30">
        <f t="shared" si="24"/>
        <v>121.02651689156484</v>
      </c>
      <c r="GI70" s="30">
        <f t="shared" si="0"/>
        <v>-6.1818033810974811</v>
      </c>
      <c r="GJ70" s="34">
        <f t="shared" si="25"/>
        <v>121.18429140753672</v>
      </c>
      <c r="GK70" s="34">
        <f t="shared" si="26"/>
        <v>54.637515924876354</v>
      </c>
      <c r="GL70" s="34">
        <f t="shared" si="27"/>
        <v>-257.13160715152588</v>
      </c>
      <c r="GM70" s="34">
        <f t="shared" si="28"/>
        <v>262.87244348308508</v>
      </c>
      <c r="GN70" s="55">
        <f t="shared" si="1"/>
        <v>1090.7249681502474</v>
      </c>
      <c r="GO70" s="55">
        <f t="shared" si="2"/>
        <v>231.32109325079344</v>
      </c>
      <c r="GP70" s="34">
        <f t="shared" si="29"/>
        <v>1114.9844861383051</v>
      </c>
      <c r="GQ70" s="55">
        <f t="shared" si="30"/>
        <v>109.17614479211095</v>
      </c>
      <c r="GR70" s="55">
        <f t="shared" si="31"/>
        <v>-231.37056205898338</v>
      </c>
      <c r="GS70" s="34">
        <f t="shared" si="32"/>
        <v>255.83543065642385</v>
      </c>
      <c r="GT70" s="56">
        <f t="shared" si="33"/>
        <v>1090.8503650590876</v>
      </c>
      <c r="GU70" s="56">
        <f t="shared" si="33"/>
        <v>4.907276851826964</v>
      </c>
      <c r="GV70" s="34">
        <f t="shared" si="34"/>
        <v>1090.8614028902321</v>
      </c>
      <c r="GW70" s="30">
        <f t="shared" si="35"/>
        <v>108.97020916441457</v>
      </c>
      <c r="GX70" s="30">
        <f t="shared" si="3"/>
        <v>-4.9597665548661052</v>
      </c>
      <c r="GY70" s="34">
        <f t="shared" si="36"/>
        <v>109.08302237110517</v>
      </c>
      <c r="GZ70" s="34">
        <f t="shared" si="56"/>
        <v>599.91946128114375</v>
      </c>
      <c r="HA70" s="34">
        <f t="shared" si="56"/>
        <v>-3.0208948492038701E-3</v>
      </c>
      <c r="HB70" s="34">
        <f t="shared" si="37"/>
        <v>599.91946128874963</v>
      </c>
      <c r="HC70" s="33">
        <f t="shared" si="5"/>
        <v>0.18164143884222475</v>
      </c>
      <c r="HD70" s="33">
        <f t="shared" si="6"/>
        <v>-8.266472677163305E-3</v>
      </c>
      <c r="HE70" s="33">
        <f t="shared" ref="HE70:HE86" si="57">SQRT(HC70^2+HD70^2)</f>
        <v>0.18182944446704982</v>
      </c>
      <c r="HF70" s="33">
        <f t="shared" si="39"/>
        <v>9.9868819792994459E-2</v>
      </c>
      <c r="HG70" s="33">
        <f t="shared" si="7"/>
        <v>-5.0035604030155738E-3</v>
      </c>
      <c r="HH70" s="33">
        <f t="shared" si="40"/>
        <v>9.9994083742750636E-2</v>
      </c>
      <c r="HI70" s="30">
        <f t="shared" si="54"/>
        <v>1.6248622202614429E-2</v>
      </c>
      <c r="HJ70" s="30">
        <f t="shared" si="41"/>
        <v>-3.9426782335384145E-2</v>
      </c>
      <c r="HK70" s="33">
        <f t="shared" si="42"/>
        <v>4.2643743841330982E-2</v>
      </c>
      <c r="HL70" s="61">
        <f t="shared" si="43"/>
        <v>4.1518329829254115E-3</v>
      </c>
      <c r="HM70" s="61">
        <f t="shared" si="44"/>
        <v>-2.2568912113181384E-2</v>
      </c>
      <c r="HN70" s="33">
        <f t="shared" si="45"/>
        <v>2.2947625391107743E-2</v>
      </c>
      <c r="HO70" s="30">
        <f t="shared" si="46"/>
        <v>-20.000513894777203</v>
      </c>
      <c r="HP70" s="30">
        <f t="shared" si="47"/>
        <v>12.770880294474079</v>
      </c>
      <c r="HQ70" s="29">
        <v>9000</v>
      </c>
      <c r="HR70" s="30">
        <v>56548.667764616279</v>
      </c>
      <c r="HS70" s="30">
        <f t="shared" si="48"/>
        <v>-32.771394189251282</v>
      </c>
      <c r="HT70" s="30">
        <f t="shared" si="49"/>
        <v>-32.785244967584418</v>
      </c>
      <c r="HU70" s="30">
        <f t="shared" si="50"/>
        <v>-1.3850778333136304E-2</v>
      </c>
      <c r="HV70" s="30">
        <f t="shared" si="8"/>
        <v>-12.8552588557082</v>
      </c>
      <c r="HW70" s="30">
        <f t="shared" si="9"/>
        <v>-12.858756823406868</v>
      </c>
      <c r="HX70" s="73">
        <f t="shared" si="51"/>
        <v>-8.0538711250369488E-2</v>
      </c>
      <c r="HY70" s="30">
        <f t="shared" si="52"/>
        <v>-7.0527782900985159E-2</v>
      </c>
      <c r="HZ70" s="74">
        <f t="shared" si="53"/>
        <v>3.4979676986672814E-3</v>
      </c>
    </row>
    <row r="71" spans="5:234" ht="15" customHeight="1">
      <c r="G71" s="30" t="s">
        <v>44</v>
      </c>
      <c r="I71" s="30" t="s">
        <v>263</v>
      </c>
      <c r="FT71" s="29">
        <v>10000</v>
      </c>
      <c r="FU71" s="27">
        <f t="shared" si="11"/>
        <v>62831.853071795864</v>
      </c>
      <c r="FV71" s="30">
        <f t="shared" si="12"/>
        <v>490.95889339596852</v>
      </c>
      <c r="FW71" s="30">
        <f t="shared" si="13"/>
        <v>4.4611599319528983</v>
      </c>
      <c r="FX71" s="34">
        <f t="shared" si="14"/>
        <v>490.97916142391671</v>
      </c>
      <c r="FY71" s="30">
        <f t="shared" si="15"/>
        <v>2.0553302015767824E-2</v>
      </c>
      <c r="FZ71" s="30">
        <f t="shared" si="16"/>
        <v>-2.2305799659764491</v>
      </c>
      <c r="GA71" s="34">
        <f t="shared" si="17"/>
        <v>2.2306746564300335</v>
      </c>
      <c r="GB71" s="34">
        <f t="shared" si="18"/>
        <v>508.30881181912542</v>
      </c>
      <c r="GC71" s="34">
        <f t="shared" si="19"/>
        <v>215.66485888791246</v>
      </c>
      <c r="GD71" s="34">
        <f t="shared" si="20"/>
        <v>552.16770960652366</v>
      </c>
      <c r="GE71" s="55">
        <f t="shared" si="21"/>
        <v>45.845594090437316</v>
      </c>
      <c r="GF71" s="55">
        <f t="shared" si="22"/>
        <v>-107.83242944395623</v>
      </c>
      <c r="GG71" s="34">
        <f t="shared" si="23"/>
        <v>117.17359488080469</v>
      </c>
      <c r="GH71" s="30">
        <f t="shared" si="24"/>
        <v>121.02147909147536</v>
      </c>
      <c r="GI71" s="30">
        <f t="shared" si="0"/>
        <v>-5.5636675222744856</v>
      </c>
      <c r="GJ71" s="34">
        <f t="shared" si="25"/>
        <v>121.14929961740108</v>
      </c>
      <c r="GK71" s="34">
        <f t="shared" si="26"/>
        <v>45.845594090437316</v>
      </c>
      <c r="GL71" s="34">
        <f t="shared" si="27"/>
        <v>-235.15638391747251</v>
      </c>
      <c r="GM71" s="34">
        <f t="shared" si="28"/>
        <v>239.58368766392854</v>
      </c>
      <c r="GN71" s="55">
        <f t="shared" si="1"/>
        <v>1108.3088118191254</v>
      </c>
      <c r="GO71" s="55">
        <f t="shared" si="2"/>
        <v>215.66485888791246</v>
      </c>
      <c r="GP71" s="34">
        <f t="shared" si="29"/>
        <v>1129.096875256975</v>
      </c>
      <c r="GQ71" s="55">
        <f t="shared" si="30"/>
        <v>91.608538674560933</v>
      </c>
      <c r="GR71" s="55">
        <f t="shared" si="31"/>
        <v>-215.70165783010512</v>
      </c>
      <c r="GS71" s="34">
        <f t="shared" si="32"/>
        <v>234.34873489896265</v>
      </c>
      <c r="GT71" s="56">
        <f t="shared" si="33"/>
        <v>1090.8762438896549</v>
      </c>
      <c r="GU71" s="56">
        <f t="shared" si="33"/>
        <v>4.4243609897602312</v>
      </c>
      <c r="GV71" s="34">
        <f t="shared" si="34"/>
        <v>1090.8852159842343</v>
      </c>
      <c r="GW71" s="30">
        <f t="shared" si="35"/>
        <v>108.96064524868044</v>
      </c>
      <c r="GX71" s="30">
        <f t="shared" si="3"/>
        <v>-4.4638176476709885</v>
      </c>
      <c r="GY71" s="34">
        <f t="shared" si="36"/>
        <v>109.05204207625113</v>
      </c>
      <c r="GZ71" s="34">
        <f t="shared" si="56"/>
        <v>599.91953864464892</v>
      </c>
      <c r="HA71" s="34">
        <f t="shared" si="56"/>
        <v>-2.6577157180902589E-3</v>
      </c>
      <c r="HB71" s="34">
        <f t="shared" si="37"/>
        <v>599.91953865053597</v>
      </c>
      <c r="HC71" s="33">
        <f t="shared" si="5"/>
        <v>0.18162546475475255</v>
      </c>
      <c r="HD71" s="33">
        <f t="shared" si="6"/>
        <v>-7.4398892706548057E-3</v>
      </c>
      <c r="HE71" s="33">
        <f t="shared" si="57"/>
        <v>0.18177778026959032</v>
      </c>
      <c r="HF71" s="33">
        <f t="shared" si="39"/>
        <v>9.9864739978126726E-2</v>
      </c>
      <c r="HG71" s="33">
        <f t="shared" si="7"/>
        <v>-4.5026555225860078E-3</v>
      </c>
      <c r="HH71" s="33">
        <f t="shared" si="40"/>
        <v>9.9966195274472341E-2</v>
      </c>
      <c r="HI71" s="30">
        <f t="shared" si="54"/>
        <v>1.363284329505777E-2</v>
      </c>
      <c r="HJ71" s="30">
        <f t="shared" si="41"/>
        <v>-3.6593324017642419E-2</v>
      </c>
      <c r="HK71" s="33">
        <f t="shared" si="42"/>
        <v>3.905029806503104E-2</v>
      </c>
      <c r="HL71" s="61">
        <f t="shared" si="43"/>
        <v>3.3968471932029156E-3</v>
      </c>
      <c r="HM71" s="61">
        <f t="shared" si="44"/>
        <v>-2.0471347641756461E-2</v>
      </c>
      <c r="HN71" s="33">
        <f t="shared" si="45"/>
        <v>2.0751256470961425E-2</v>
      </c>
      <c r="HO71" s="30">
        <f t="shared" si="46"/>
        <v>-20.002936737557789</v>
      </c>
      <c r="HP71" s="30">
        <f t="shared" si="47"/>
        <v>13.642444375051902</v>
      </c>
      <c r="HQ71" s="29">
        <v>10000</v>
      </c>
      <c r="HR71" s="30">
        <v>62831.853071795864</v>
      </c>
      <c r="HS71" s="30">
        <f t="shared" si="48"/>
        <v>-33.645381112609691</v>
      </c>
      <c r="HT71" s="30">
        <f t="shared" si="49"/>
        <v>-33.659112039871793</v>
      </c>
      <c r="HU71" s="30">
        <f t="shared" si="50"/>
        <v>-1.3730927262102455E-2</v>
      </c>
      <c r="HV71" s="30">
        <f t="shared" si="8"/>
        <v>-13.729125927995575</v>
      </c>
      <c r="HW71" s="30">
        <f t="shared" si="9"/>
        <v>-13.732743746765276</v>
      </c>
      <c r="HX71" s="73">
        <f t="shared" si="51"/>
        <v>-8.0461349464030718E-2</v>
      </c>
      <c r="HY71" s="30">
        <f t="shared" si="52"/>
        <v>-7.2950625681571069E-2</v>
      </c>
      <c r="HZ71" s="74">
        <f t="shared" si="53"/>
        <v>3.617818769701131E-3</v>
      </c>
    </row>
    <row r="72" spans="5:234" ht="15" customHeight="1">
      <c r="I72" s="104">
        <f>I70/1000000*AJ34^2</f>
        <v>1.7171999999999996</v>
      </c>
      <c r="J72" s="104"/>
      <c r="K72" s="104"/>
      <c r="L72" s="104"/>
      <c r="N72" s="30" t="s">
        <v>46</v>
      </c>
      <c r="FT72" s="29">
        <v>11000</v>
      </c>
      <c r="FU72" s="27">
        <f t="shared" si="11"/>
        <v>69115.038378975441</v>
      </c>
      <c r="FV72" s="30">
        <f t="shared" si="12"/>
        <v>490.96602709941266</v>
      </c>
      <c r="FW72" s="30">
        <f t="shared" si="13"/>
        <v>4.055659694779389</v>
      </c>
      <c r="FX72" s="34">
        <f t="shared" si="14"/>
        <v>490.98277784596587</v>
      </c>
      <c r="FY72" s="30">
        <f t="shared" si="15"/>
        <v>1.6986450293695349E-2</v>
      </c>
      <c r="FZ72" s="30">
        <f t="shared" si="16"/>
        <v>-2.0278298473896945</v>
      </c>
      <c r="GA72" s="34">
        <f t="shared" si="17"/>
        <v>2.0279009910392793</v>
      </c>
      <c r="GB72" s="34">
        <f t="shared" si="18"/>
        <v>522.15389187018241</v>
      </c>
      <c r="GC72" s="34">
        <f t="shared" si="19"/>
        <v>201.41016038356179</v>
      </c>
      <c r="GD72" s="34">
        <f t="shared" si="20"/>
        <v>559.65233806436493</v>
      </c>
      <c r="GE72" s="55">
        <f t="shared" si="21"/>
        <v>38.92305406490879</v>
      </c>
      <c r="GF72" s="55">
        <f t="shared" si="22"/>
        <v>-100.70508019178089</v>
      </c>
      <c r="GG72" s="34">
        <f t="shared" si="23"/>
        <v>107.96535237831085</v>
      </c>
      <c r="GH72" s="30">
        <f t="shared" si="24"/>
        <v>121.01775156555981</v>
      </c>
      <c r="GI72" s="30">
        <f t="shared" si="0"/>
        <v>-5.0579094845955765</v>
      </c>
      <c r="GJ72" s="34">
        <f t="shared" si="25"/>
        <v>121.12340253781643</v>
      </c>
      <c r="GK72" s="34">
        <f t="shared" si="26"/>
        <v>38.92305406490879</v>
      </c>
      <c r="GL72" s="34">
        <f t="shared" si="27"/>
        <v>-216.45412971315935</v>
      </c>
      <c r="GM72" s="34">
        <f t="shared" si="28"/>
        <v>219.92588389641867</v>
      </c>
      <c r="GN72" s="55">
        <f t="shared" si="1"/>
        <v>1122.1538918701824</v>
      </c>
      <c r="GO72" s="55">
        <f t="shared" si="2"/>
        <v>201.41016038356179</v>
      </c>
      <c r="GP72" s="34">
        <f t="shared" si="29"/>
        <v>1140.0857028070868</v>
      </c>
      <c r="GQ72" s="55">
        <f t="shared" si="30"/>
        <v>77.77619599348364</v>
      </c>
      <c r="GR72" s="55">
        <f t="shared" si="31"/>
        <v>-201.43822820605737</v>
      </c>
      <c r="GS72" s="34">
        <f t="shared" si="32"/>
        <v>215.93169393586581</v>
      </c>
      <c r="GT72" s="56">
        <f t="shared" si="33"/>
        <v>1090.8961149630788</v>
      </c>
      <c r="GU72" s="56">
        <f t="shared" si="33"/>
        <v>4.0275918722838071</v>
      </c>
      <c r="GV72" s="34">
        <f t="shared" si="34"/>
        <v>1090.9035498786445</v>
      </c>
      <c r="GW72" s="30">
        <f t="shared" si="35"/>
        <v>108.95357411911887</v>
      </c>
      <c r="GX72" s="30">
        <f t="shared" si="3"/>
        <v>-4.0580333664473782</v>
      </c>
      <c r="GY72" s="34">
        <f t="shared" si="36"/>
        <v>109.02911972557391</v>
      </c>
      <c r="GZ72" s="34">
        <f t="shared" si="56"/>
        <v>599.91960121853151</v>
      </c>
      <c r="HA72" s="34">
        <f t="shared" si="56"/>
        <v>-2.3736716679891856E-3</v>
      </c>
      <c r="HB72" s="34">
        <f t="shared" si="37"/>
        <v>599.91960122322746</v>
      </c>
      <c r="HC72" s="33">
        <f t="shared" si="5"/>
        <v>0.18161365281668984</v>
      </c>
      <c r="HD72" s="33">
        <f t="shared" si="6"/>
        <v>-6.7635767643256456E-3</v>
      </c>
      <c r="HE72" s="33">
        <f t="shared" si="57"/>
        <v>0.18173955227211294</v>
      </c>
      <c r="HF72" s="33">
        <f t="shared" si="39"/>
        <v>9.9861772962183654E-2</v>
      </c>
      <c r="HG72" s="33">
        <f t="shared" si="7"/>
        <v>-4.0929407540790698E-3</v>
      </c>
      <c r="HH72" s="33">
        <f t="shared" si="40"/>
        <v>9.9945614526937177E-2</v>
      </c>
      <c r="HI72" s="30">
        <f t="shared" si="54"/>
        <v>1.1573598724647046E-2</v>
      </c>
      <c r="HJ72" s="30">
        <f t="shared" si="41"/>
        <v>-3.4060613963115306E-2</v>
      </c>
      <c r="HK72" s="33">
        <f t="shared" si="42"/>
        <v>3.5973234647213991E-2</v>
      </c>
      <c r="HL72" s="61">
        <f t="shared" si="43"/>
        <v>2.8283859528020392E-3</v>
      </c>
      <c r="HM72" s="61">
        <f t="shared" si="44"/>
        <v>-1.8719387954214538E-2</v>
      </c>
      <c r="HN72" s="33">
        <f t="shared" si="45"/>
        <v>1.8931858135914716E-2</v>
      </c>
      <c r="HO72" s="30">
        <f t="shared" si="46"/>
        <v>-20.0047251471827</v>
      </c>
      <c r="HP72" s="30">
        <f t="shared" si="47"/>
        <v>14.437769634564372</v>
      </c>
      <c r="HQ72" s="29">
        <v>11000</v>
      </c>
      <c r="HR72" s="30">
        <v>69115.038378975441</v>
      </c>
      <c r="HS72" s="30">
        <f t="shared" si="48"/>
        <v>-34.442494781747072</v>
      </c>
      <c r="HT72" s="30">
        <f t="shared" si="49"/>
        <v>-34.456135170728089</v>
      </c>
      <c r="HU72" s="30">
        <f t="shared" si="50"/>
        <v>-1.3640388981016827E-2</v>
      </c>
      <c r="HV72" s="30">
        <f t="shared" si="8"/>
        <v>-14.526149058851871</v>
      </c>
      <c r="HW72" s="30">
        <f t="shared" si="9"/>
        <v>-14.529857415902658</v>
      </c>
      <c r="HX72" s="73">
        <f t="shared" si="51"/>
        <v>-8.0398776772540259E-2</v>
      </c>
      <c r="HY72" s="30">
        <f t="shared" si="52"/>
        <v>-7.4739035306482293E-2</v>
      </c>
      <c r="HZ72" s="74">
        <f t="shared" si="53"/>
        <v>3.7083570507867591E-3</v>
      </c>
    </row>
    <row r="73" spans="5:234" ht="15" customHeight="1">
      <c r="E73" s="30" t="s">
        <v>264</v>
      </c>
      <c r="FT73" s="29">
        <v>12000</v>
      </c>
      <c r="FU73" s="27">
        <f t="shared" si="11"/>
        <v>75398.223686155034</v>
      </c>
      <c r="FV73" s="30">
        <f t="shared" si="12"/>
        <v>490.97145300667273</v>
      </c>
      <c r="FW73" s="30">
        <f t="shared" si="13"/>
        <v>3.71772971696877</v>
      </c>
      <c r="FX73" s="34">
        <f t="shared" si="14"/>
        <v>490.98552848503783</v>
      </c>
      <c r="FY73" s="30">
        <f t="shared" si="15"/>
        <v>1.4273496663681318E-2</v>
      </c>
      <c r="FZ73" s="30">
        <f t="shared" si="16"/>
        <v>-1.858864858484385</v>
      </c>
      <c r="GA73" s="34">
        <f t="shared" si="17"/>
        <v>1.8589196579774987</v>
      </c>
      <c r="GB73" s="34">
        <f t="shared" si="18"/>
        <v>533.20095128037315</v>
      </c>
      <c r="GC73" s="34">
        <f t="shared" si="19"/>
        <v>188.53991579928115</v>
      </c>
      <c r="GD73" s="34">
        <f t="shared" si="20"/>
        <v>565.55331693474739</v>
      </c>
      <c r="GE73" s="55">
        <f t="shared" si="21"/>
        <v>33.399524359813441</v>
      </c>
      <c r="GF73" s="55">
        <f t="shared" si="22"/>
        <v>-94.269957899640573</v>
      </c>
      <c r="GG73" s="34">
        <f t="shared" si="23"/>
        <v>100.0117652572025</v>
      </c>
      <c r="GH73" s="30">
        <f t="shared" si="24"/>
        <v>121.01491640602576</v>
      </c>
      <c r="GI73" s="30">
        <f t="shared" si="0"/>
        <v>-4.6364378875427636</v>
      </c>
      <c r="GJ73" s="34">
        <f t="shared" si="25"/>
        <v>121.10370163228886</v>
      </c>
      <c r="GK73" s="34">
        <f t="shared" si="26"/>
        <v>33.399524359813441</v>
      </c>
      <c r="GL73" s="34">
        <f t="shared" si="27"/>
        <v>-200.37325329423749</v>
      </c>
      <c r="GM73" s="34">
        <f t="shared" si="28"/>
        <v>203.13780756712529</v>
      </c>
      <c r="GN73" s="55">
        <f t="shared" si="1"/>
        <v>1133.2009512803731</v>
      </c>
      <c r="GO73" s="55">
        <f t="shared" si="2"/>
        <v>188.53991579928115</v>
      </c>
      <c r="GP73" s="34">
        <f t="shared" si="29"/>
        <v>1148.7783493051836</v>
      </c>
      <c r="GQ73" s="55">
        <f t="shared" si="30"/>
        <v>66.739253037787321</v>
      </c>
      <c r="GR73" s="55">
        <f t="shared" si="31"/>
        <v>-188.56178633697678</v>
      </c>
      <c r="GS73" s="34">
        <f t="shared" si="32"/>
        <v>200.02418644412353</v>
      </c>
      <c r="GT73" s="56">
        <f t="shared" si="33"/>
        <v>1090.9116573248334</v>
      </c>
      <c r="GU73" s="56">
        <f t="shared" si="33"/>
        <v>3.6958591792731283</v>
      </c>
      <c r="GV73" s="34">
        <f t="shared" si="34"/>
        <v>1090.9179178390498</v>
      </c>
      <c r="GW73" s="30">
        <f t="shared" si="35"/>
        <v>108.94819895569928</v>
      </c>
      <c r="GX73" s="30">
        <f t="shared" si="3"/>
        <v>-3.7198752728346891</v>
      </c>
      <c r="GY73" s="34">
        <f t="shared" si="36"/>
        <v>109.01168528068943</v>
      </c>
      <c r="GZ73" s="34">
        <f t="shared" si="56"/>
        <v>599.91965196237197</v>
      </c>
      <c r="HA73" s="34">
        <f t="shared" si="56"/>
        <v>-2.1455558659191354E-3</v>
      </c>
      <c r="HB73" s="34">
        <f t="shared" si="37"/>
        <v>599.91965196620868</v>
      </c>
      <c r="HC73" s="33">
        <f t="shared" si="5"/>
        <v>0.18160467306198713</v>
      </c>
      <c r="HD73" s="33">
        <f t="shared" si="6"/>
        <v>-6.1999729758751339E-3</v>
      </c>
      <c r="HE73" s="33">
        <f t="shared" si="57"/>
        <v>0.18171047560020534</v>
      </c>
      <c r="HF73" s="33">
        <f t="shared" si="39"/>
        <v>9.9859546821058062E-2</v>
      </c>
      <c r="HG73" s="33">
        <f t="shared" si="7"/>
        <v>-3.7515885370170998E-3</v>
      </c>
      <c r="HH73" s="33">
        <f t="shared" si="40"/>
        <v>9.9929993034414674E-2</v>
      </c>
      <c r="HI73" s="30">
        <f t="shared" si="54"/>
        <v>9.9307244816352787E-3</v>
      </c>
      <c r="HJ73" s="30">
        <f t="shared" si="41"/>
        <v>-3.1802928725948115E-2</v>
      </c>
      <c r="HK73" s="33">
        <f t="shared" si="42"/>
        <v>3.3317346297055024E-2</v>
      </c>
      <c r="HL73" s="61">
        <f t="shared" si="43"/>
        <v>2.3902787030946828E-3</v>
      </c>
      <c r="HM73" s="61">
        <f t="shared" si="44"/>
        <v>-1.7236501751007181E-2</v>
      </c>
      <c r="HN73" s="33">
        <f t="shared" si="45"/>
        <v>1.7401448930791413E-2</v>
      </c>
      <c r="HO73" s="30">
        <f t="shared" si="46"/>
        <v>-20.006082857230105</v>
      </c>
      <c r="HP73" s="30">
        <f t="shared" si="47"/>
        <v>15.16863847504866</v>
      </c>
      <c r="HQ73" s="29">
        <v>12000</v>
      </c>
      <c r="HR73" s="30">
        <v>75398.223686155034</v>
      </c>
      <c r="HS73" s="30">
        <f t="shared" si="48"/>
        <v>-35.174721332278764</v>
      </c>
      <c r="HT73" s="30">
        <f t="shared" si="49"/>
        <v>-35.188291774061938</v>
      </c>
      <c r="HU73" s="30">
        <f t="shared" si="50"/>
        <v>-1.3570441783173237E-2</v>
      </c>
      <c r="HV73" s="30">
        <f t="shared" si="8"/>
        <v>-15.25830566218572</v>
      </c>
      <c r="HW73" s="30">
        <f t="shared" si="9"/>
        <v>-15.26208396643435</v>
      </c>
      <c r="HX73" s="73">
        <f t="shared" si="51"/>
        <v>-8.0348033791324269E-2</v>
      </c>
      <c r="HY73" s="30">
        <f t="shared" si="52"/>
        <v>-7.6096745353886774E-2</v>
      </c>
      <c r="HZ73" s="74">
        <f t="shared" si="53"/>
        <v>3.7783042486303486E-3</v>
      </c>
    </row>
    <row r="74" spans="5:234" ht="15" customHeight="1">
      <c r="G74" s="30" t="s">
        <v>266</v>
      </c>
      <c r="I74" s="30" t="s">
        <v>267</v>
      </c>
      <c r="FT74" s="29">
        <v>13000</v>
      </c>
      <c r="FU74" s="27">
        <f t="shared" si="11"/>
        <v>81681.408993334626</v>
      </c>
      <c r="FV74" s="30">
        <f t="shared" si="12"/>
        <v>490.97567572253467</v>
      </c>
      <c r="FW74" s="30">
        <f t="shared" si="13"/>
        <v>3.4317804383569079</v>
      </c>
      <c r="FX74" s="34">
        <f t="shared" si="14"/>
        <v>490.98766916102545</v>
      </c>
      <c r="FY74" s="30">
        <f t="shared" si="15"/>
        <v>1.2162138732670323E-2</v>
      </c>
      <c r="FZ74" s="30">
        <f t="shared" si="16"/>
        <v>-1.715890219178454</v>
      </c>
      <c r="GA74" s="34">
        <f t="shared" si="17"/>
        <v>1.7159333209337813</v>
      </c>
      <c r="GB74" s="34">
        <f t="shared" si="18"/>
        <v>542.12768913590833</v>
      </c>
      <c r="GC74" s="34">
        <f t="shared" si="19"/>
        <v>176.95627251357419</v>
      </c>
      <c r="GD74" s="34">
        <f t="shared" si="20"/>
        <v>570.27708502949542</v>
      </c>
      <c r="GE74" s="55">
        <f t="shared" si="21"/>
        <v>28.936155432045854</v>
      </c>
      <c r="GF74" s="55">
        <f t="shared" si="22"/>
        <v>-88.478136256787096</v>
      </c>
      <c r="GG74" s="34">
        <f t="shared" si="23"/>
        <v>93.089643283568876</v>
      </c>
      <c r="GH74" s="30">
        <f t="shared" si="24"/>
        <v>121.01270994316388</v>
      </c>
      <c r="GI74" s="30">
        <f t="shared" si="0"/>
        <v>-4.2798038047831817</v>
      </c>
      <c r="GJ74" s="34">
        <f t="shared" si="25"/>
        <v>121.08836727116173</v>
      </c>
      <c r="GK74" s="34">
        <f t="shared" si="26"/>
        <v>28.936155432045854</v>
      </c>
      <c r="GL74" s="34">
        <f t="shared" si="27"/>
        <v>-186.41963969795347</v>
      </c>
      <c r="GM74" s="34">
        <f t="shared" si="28"/>
        <v>188.65201604091675</v>
      </c>
      <c r="GN74" s="55">
        <f t="shared" si="1"/>
        <v>1142.1276891359084</v>
      </c>
      <c r="GO74" s="55">
        <f t="shared" si="2"/>
        <v>176.95627251357419</v>
      </c>
      <c r="GP74" s="34">
        <f t="shared" si="29"/>
        <v>1155.754809928485</v>
      </c>
      <c r="GQ74" s="55">
        <f t="shared" si="30"/>
        <v>57.820652273629122</v>
      </c>
      <c r="GR74" s="55">
        <f t="shared" si="31"/>
        <v>-176.97363042131923</v>
      </c>
      <c r="GS74" s="34">
        <f t="shared" si="32"/>
        <v>186.1797349172289</v>
      </c>
      <c r="GT74" s="56">
        <f t="shared" si="33"/>
        <v>1090.9240171320721</v>
      </c>
      <c r="GU74" s="56">
        <f t="shared" si="33"/>
        <v>3.4144225306118585</v>
      </c>
      <c r="GV74" s="34">
        <f t="shared" si="34"/>
        <v>1090.9293604247689</v>
      </c>
      <c r="GW74" s="30">
        <f t="shared" si="35"/>
        <v>108.94401766801582</v>
      </c>
      <c r="GX74" s="30">
        <f t="shared" si="3"/>
        <v>-3.4337387671638968</v>
      </c>
      <c r="GY74" s="34">
        <f t="shared" si="36"/>
        <v>108.99811717442677</v>
      </c>
      <c r="GZ74" s="34">
        <f t="shared" si="56"/>
        <v>599.91969339055049</v>
      </c>
      <c r="HA74" s="34">
        <f t="shared" si="56"/>
        <v>-1.9583288069888738E-3</v>
      </c>
      <c r="HB74" s="34">
        <f t="shared" si="37"/>
        <v>599.9196933937468</v>
      </c>
      <c r="HC74" s="33">
        <f t="shared" si="5"/>
        <v>0.18159768728370118</v>
      </c>
      <c r="HD74" s="33">
        <f t="shared" si="6"/>
        <v>-5.7230712327132382E-3</v>
      </c>
      <c r="HE74" s="33">
        <f t="shared" si="57"/>
        <v>0.18168784651462971</v>
      </c>
      <c r="HF74" s="33">
        <f t="shared" si="39"/>
        <v>9.9857833141671209E-2</v>
      </c>
      <c r="HG74" s="33">
        <f t="shared" si="7"/>
        <v>-3.4628040319486255E-3</v>
      </c>
      <c r="HH74" s="33">
        <f t="shared" si="40"/>
        <v>9.9917855518988838E-2</v>
      </c>
      <c r="HI74" s="30">
        <f t="shared" si="54"/>
        <v>8.6033026118330028E-3</v>
      </c>
      <c r="HJ74" s="30">
        <f t="shared" si="41"/>
        <v>-2.9789690671680476E-2</v>
      </c>
      <c r="HK74" s="33">
        <f t="shared" si="42"/>
        <v>3.1007136051966804E-2</v>
      </c>
      <c r="HL74" s="61">
        <f t="shared" si="43"/>
        <v>2.0458313799855579E-3</v>
      </c>
      <c r="HM74" s="61">
        <f t="shared" si="44"/>
        <v>-1.5966548461843519E-2</v>
      </c>
      <c r="HN74" s="33">
        <f t="shared" si="45"/>
        <v>1.6097083456941236E-2</v>
      </c>
      <c r="HO74" s="30">
        <f t="shared" si="46"/>
        <v>-20.007137911065929</v>
      </c>
      <c r="HP74" s="30">
        <f t="shared" si="47"/>
        <v>15.844402829027739</v>
      </c>
      <c r="HQ74" s="29">
        <v>13000</v>
      </c>
      <c r="HR74" s="30">
        <v>81681.408993334626</v>
      </c>
      <c r="HS74" s="30">
        <f t="shared" si="48"/>
        <v>-35.851540740093668</v>
      </c>
      <c r="HT74" s="30">
        <f t="shared" si="49"/>
        <v>-35.865056085943635</v>
      </c>
      <c r="HU74" s="30">
        <f t="shared" si="50"/>
        <v>-1.3515345849967275E-2</v>
      </c>
      <c r="HV74" s="30">
        <f t="shared" si="8"/>
        <v>-15.935069974067417</v>
      </c>
      <c r="HW74" s="30">
        <f t="shared" si="9"/>
        <v>-15.938903374249254</v>
      </c>
      <c r="HX74" s="73">
        <f t="shared" si="51"/>
        <v>-8.0306606253202517E-2</v>
      </c>
      <c r="HY74" s="30">
        <f t="shared" si="52"/>
        <v>-7.7151799189710601E-2</v>
      </c>
      <c r="HZ74" s="74">
        <f t="shared" si="53"/>
        <v>3.8334001818363106E-3</v>
      </c>
    </row>
    <row r="75" spans="5:234" ht="15" customHeight="1">
      <c r="G75" s="30" t="s">
        <v>268</v>
      </c>
      <c r="I75" s="30" t="s">
        <v>269</v>
      </c>
      <c r="FT75" s="29">
        <v>15000</v>
      </c>
      <c r="FU75" s="27">
        <f t="shared" si="11"/>
        <v>94247.779607693796</v>
      </c>
      <c r="FV75" s="30">
        <f t="shared" si="12"/>
        <v>490.98172953648498</v>
      </c>
      <c r="FW75" s="30">
        <f t="shared" si="13"/>
        <v>2.9742469011394843</v>
      </c>
      <c r="FX75" s="34">
        <f t="shared" si="14"/>
        <v>490.99073808297754</v>
      </c>
      <c r="FY75" s="30">
        <f t="shared" si="15"/>
        <v>9.1352317575130581E-3</v>
      </c>
      <c r="FZ75" s="30">
        <f t="shared" si="16"/>
        <v>-1.4871234505697422</v>
      </c>
      <c r="GA75" s="34">
        <f t="shared" si="17"/>
        <v>1.4871515086546225</v>
      </c>
      <c r="GB75" s="34">
        <f t="shared" si="18"/>
        <v>555.46036156710727</v>
      </c>
      <c r="GC75" s="34">
        <f t="shared" si="19"/>
        <v>157.14107911765572</v>
      </c>
      <c r="GD75" s="34">
        <f t="shared" si="20"/>
        <v>577.26036761458249</v>
      </c>
      <c r="GE75" s="55">
        <f t="shared" si="21"/>
        <v>22.269819216446365</v>
      </c>
      <c r="GF75" s="55">
        <f t="shared" si="22"/>
        <v>-78.570539558827861</v>
      </c>
      <c r="GG75" s="34">
        <f t="shared" si="23"/>
        <v>81.665626395066226</v>
      </c>
      <c r="GH75" s="30">
        <f t="shared" si="24"/>
        <v>121.00954669375719</v>
      </c>
      <c r="GI75" s="30">
        <f t="shared" si="0"/>
        <v>-3.7091819166739111</v>
      </c>
      <c r="GJ75" s="34">
        <f t="shared" si="25"/>
        <v>121.06638022803681</v>
      </c>
      <c r="GK75" s="34">
        <f t="shared" si="26"/>
        <v>22.269819216446365</v>
      </c>
      <c r="GL75" s="34">
        <f t="shared" si="27"/>
        <v>-163.45317587450538</v>
      </c>
      <c r="GM75" s="34">
        <f t="shared" si="28"/>
        <v>164.96328546496395</v>
      </c>
      <c r="GN75" s="55">
        <f t="shared" si="1"/>
        <v>1155.4603615671072</v>
      </c>
      <c r="GO75" s="55">
        <f t="shared" si="2"/>
        <v>157.14107911765572</v>
      </c>
      <c r="GP75" s="34">
        <f t="shared" si="29"/>
        <v>1166.0968938724823</v>
      </c>
      <c r="GQ75" s="55">
        <f t="shared" si="30"/>
        <v>44.500060043243224</v>
      </c>
      <c r="GR75" s="55">
        <f t="shared" si="31"/>
        <v>-157.15252662032015</v>
      </c>
      <c r="GS75" s="34">
        <f t="shared" si="32"/>
        <v>163.33147880002397</v>
      </c>
      <c r="GT75" s="56">
        <f t="shared" si="33"/>
        <v>1090.9421511468354</v>
      </c>
      <c r="GU75" s="56">
        <f t="shared" si="33"/>
        <v>2.962799398475056</v>
      </c>
      <c r="GV75" s="34">
        <f t="shared" si="34"/>
        <v>1090.946174350119</v>
      </c>
      <c r="GW75" s="30">
        <f t="shared" si="35"/>
        <v>108.93802628294669</v>
      </c>
      <c r="GX75" s="30">
        <f t="shared" si="3"/>
        <v>-2.9759159998362246</v>
      </c>
      <c r="GY75" s="34">
        <f t="shared" si="36"/>
        <v>108.97866601524386</v>
      </c>
      <c r="GZ75" s="34">
        <f t="shared" si="56"/>
        <v>599.91975581943166</v>
      </c>
      <c r="HA75" s="34">
        <f t="shared" si="56"/>
        <v>-1.6690986967402566E-3</v>
      </c>
      <c r="HB75" s="34">
        <f t="shared" si="37"/>
        <v>599.91975582175348</v>
      </c>
      <c r="HC75" s="33">
        <f t="shared" si="5"/>
        <v>0.1815876765266847</v>
      </c>
      <c r="HD75" s="33">
        <f t="shared" si="6"/>
        <v>-4.9600182077977981E-3</v>
      </c>
      <c r="HE75" s="33">
        <f t="shared" si="57"/>
        <v>0.18165540467319316</v>
      </c>
      <c r="HF75" s="33">
        <f t="shared" si="39"/>
        <v>9.9855405881410231E-2</v>
      </c>
      <c r="HG75" s="33">
        <f t="shared" si="7"/>
        <v>-3.0008418627831923E-3</v>
      </c>
      <c r="HH75" s="33">
        <f t="shared" si="40"/>
        <v>9.9900486163114394E-2</v>
      </c>
      <c r="HI75" s="30">
        <f t="shared" si="54"/>
        <v>6.6209094804810659E-3</v>
      </c>
      <c r="HJ75" s="30">
        <f t="shared" si="41"/>
        <v>-2.637839199238835E-2</v>
      </c>
      <c r="HK75" s="33">
        <f t="shared" si="42"/>
        <v>2.7196617555365628E-2</v>
      </c>
      <c r="HL75" s="61">
        <f t="shared" si="43"/>
        <v>1.5466021319807026E-3</v>
      </c>
      <c r="HM75" s="61">
        <f t="shared" si="44"/>
        <v>-1.3907937007568911E-2</v>
      </c>
      <c r="HN75" s="33">
        <f t="shared" si="45"/>
        <v>1.3993666065801061E-2</v>
      </c>
      <c r="HO75" s="30">
        <f t="shared" si="46"/>
        <v>-20.008647965721767</v>
      </c>
      <c r="HP75" s="30">
        <f t="shared" si="47"/>
        <v>17.059286579072602</v>
      </c>
      <c r="HQ75" s="29">
        <v>15000</v>
      </c>
      <c r="HR75" s="30">
        <v>94247.779607693796</v>
      </c>
      <c r="HS75" s="30">
        <f t="shared" si="48"/>
        <v>-37.067934544794369</v>
      </c>
      <c r="HT75" s="30">
        <f t="shared" si="49"/>
        <v>-37.081369879465555</v>
      </c>
      <c r="HU75" s="30">
        <f t="shared" si="50"/>
        <v>-1.3435334671186183E-2</v>
      </c>
      <c r="HV75" s="30">
        <f t="shared" si="8"/>
        <v>-17.151383767589337</v>
      </c>
      <c r="HW75" s="30">
        <f t="shared" si="9"/>
        <v>-17.155297178949954</v>
      </c>
      <c r="HX75" s="73">
        <f t="shared" si="51"/>
        <v>-8.024417824651664E-2</v>
      </c>
      <c r="HY75" s="30">
        <f t="shared" si="52"/>
        <v>-7.8661853845549246E-2</v>
      </c>
      <c r="HZ75" s="74">
        <f t="shared" si="53"/>
        <v>3.9134113606174026E-3</v>
      </c>
    </row>
    <row r="76" spans="5:234" ht="15" customHeight="1">
      <c r="I76" s="169">
        <f>AJ47/AJ34</f>
        <v>0.125</v>
      </c>
      <c r="J76" s="169"/>
      <c r="K76" s="169"/>
      <c r="L76" s="169"/>
      <c r="N76" s="30" t="s">
        <v>69</v>
      </c>
      <c r="FT76" s="29">
        <v>17000</v>
      </c>
      <c r="FU76" s="27">
        <f t="shared" si="11"/>
        <v>106814.15022205297</v>
      </c>
      <c r="FV76" s="30">
        <f t="shared" si="12"/>
        <v>490.98577547182543</v>
      </c>
      <c r="FW76" s="30">
        <f t="shared" si="13"/>
        <v>2.6243574307626196</v>
      </c>
      <c r="FX76" s="34">
        <f t="shared" si="14"/>
        <v>490.99278911975296</v>
      </c>
      <c r="FY76" s="30">
        <f t="shared" si="15"/>
        <v>7.112264087279838E-3</v>
      </c>
      <c r="FZ76" s="30">
        <f t="shared" si="16"/>
        <v>-1.3121787153813098</v>
      </c>
      <c r="GA76" s="34">
        <f t="shared" si="17"/>
        <v>1.3121979901677154</v>
      </c>
      <c r="GB76" s="34">
        <f t="shared" si="18"/>
        <v>564.74320731299156</v>
      </c>
      <c r="GC76" s="34">
        <f t="shared" si="19"/>
        <v>140.97545609250923</v>
      </c>
      <c r="GD76" s="34">
        <f t="shared" si="20"/>
        <v>582.07299321189566</v>
      </c>
      <c r="GE76" s="55">
        <f t="shared" si="21"/>
        <v>17.628396343504214</v>
      </c>
      <c r="GF76" s="55">
        <f t="shared" si="22"/>
        <v>-70.487728046254617</v>
      </c>
      <c r="GG76" s="34">
        <f t="shared" si="23"/>
        <v>72.658655112563309</v>
      </c>
      <c r="GH76" s="30">
        <f t="shared" si="24"/>
        <v>121.00743260647701</v>
      </c>
      <c r="GI76" s="30">
        <f t="shared" si="0"/>
        <v>-3.2728185533021281</v>
      </c>
      <c r="GJ76" s="34">
        <f t="shared" si="25"/>
        <v>121.0516835376275</v>
      </c>
      <c r="GK76" s="34">
        <f t="shared" si="26"/>
        <v>17.628396343504214</v>
      </c>
      <c r="GL76" s="34">
        <f t="shared" si="27"/>
        <v>-145.38417185420536</v>
      </c>
      <c r="GM76" s="34">
        <f t="shared" si="28"/>
        <v>146.44902793592311</v>
      </c>
      <c r="GN76" s="55">
        <f t="shared" si="1"/>
        <v>1164.7432073129917</v>
      </c>
      <c r="GO76" s="55">
        <f t="shared" si="2"/>
        <v>140.97545609250923</v>
      </c>
      <c r="GP76" s="34">
        <f t="shared" si="29"/>
        <v>1173.243716455471</v>
      </c>
      <c r="GQ76" s="55">
        <f t="shared" si="30"/>
        <v>35.225567320518856</v>
      </c>
      <c r="GR76" s="55">
        <f t="shared" si="31"/>
        <v>-140.98338912566865</v>
      </c>
      <c r="GS76" s="34">
        <f t="shared" si="32"/>
        <v>145.31743392453677</v>
      </c>
      <c r="GT76" s="56">
        <f t="shared" si="33"/>
        <v>1090.9545501053358</v>
      </c>
      <c r="GU76" s="56">
        <f t="shared" si="33"/>
        <v>2.6164243976031969</v>
      </c>
      <c r="GV76" s="34">
        <f t="shared" si="34"/>
        <v>1090.957687571871</v>
      </c>
      <c r="GW76" s="30">
        <f t="shared" si="35"/>
        <v>108.93402411351003</v>
      </c>
      <c r="GX76" s="30">
        <f t="shared" si="3"/>
        <v>-2.62581325325537</v>
      </c>
      <c r="GY76" s="34">
        <f t="shared" si="36"/>
        <v>108.96566663313614</v>
      </c>
      <c r="GZ76" s="34">
        <f t="shared" si="56"/>
        <v>599.91979958533545</v>
      </c>
      <c r="HA76" s="34">
        <f t="shared" si="56"/>
        <v>-1.455822492750336E-3</v>
      </c>
      <c r="HB76" s="34">
        <f t="shared" si="37"/>
        <v>599.91979958710181</v>
      </c>
      <c r="HC76" s="33">
        <f t="shared" si="5"/>
        <v>0.18158098892587335</v>
      </c>
      <c r="HD76" s="33">
        <f t="shared" si="6"/>
        <v>-4.37649983444823E-3</v>
      </c>
      <c r="HE76" s="33">
        <f t="shared" si="57"/>
        <v>0.18163372288784663</v>
      </c>
      <c r="HF76" s="33">
        <f t="shared" si="39"/>
        <v>9.9853803554213083E-2</v>
      </c>
      <c r="HG76" s="33">
        <f t="shared" si="7"/>
        <v>-2.6476480238317559E-3</v>
      </c>
      <c r="HH76" s="33">
        <f t="shared" si="40"/>
        <v>9.9888898904239992E-2</v>
      </c>
      <c r="HI76" s="30">
        <f t="shared" si="54"/>
        <v>5.2408058465083333E-3</v>
      </c>
      <c r="HJ76" s="30">
        <f t="shared" si="41"/>
        <v>-2.3619480828874728E-2</v>
      </c>
      <c r="HK76" s="33">
        <f t="shared" si="42"/>
        <v>2.4193923215269919E-2</v>
      </c>
      <c r="HL76" s="61">
        <f t="shared" si="43"/>
        <v>1.2093385886997397E-3</v>
      </c>
      <c r="HM76" s="61">
        <f t="shared" si="44"/>
        <v>-1.2313594504254533E-2</v>
      </c>
      <c r="HN76" s="33">
        <f t="shared" si="45"/>
        <v>1.2372837566109308E-2</v>
      </c>
      <c r="HO76" s="30">
        <f t="shared" si="46"/>
        <v>-20.009655483231967</v>
      </c>
      <c r="HP76" s="30">
        <f t="shared" si="47"/>
        <v>18.127577110200072</v>
      </c>
      <c r="HQ76" s="29">
        <v>17000</v>
      </c>
      <c r="HR76" s="30">
        <v>106814.15022205297</v>
      </c>
      <c r="HS76" s="30">
        <f t="shared" si="48"/>
        <v>-38.137232593432039</v>
      </c>
      <c r="HT76" s="30">
        <f t="shared" si="49"/>
        <v>-38.150613771393054</v>
      </c>
      <c r="HU76" s="30">
        <f t="shared" si="50"/>
        <v>-1.3381177961015567E-2</v>
      </c>
      <c r="HV76" s="30">
        <f t="shared" si="8"/>
        <v>-18.220627659516836</v>
      </c>
      <c r="HW76" s="30">
        <f t="shared" si="9"/>
        <v>-18.224595227587624</v>
      </c>
      <c r="HX76" s="73">
        <f t="shared" si="51"/>
        <v>-8.0200412898193463E-2</v>
      </c>
      <c r="HY76" s="30">
        <f t="shared" si="52"/>
        <v>-7.9669371355748808E-2</v>
      </c>
      <c r="HZ76" s="74">
        <f t="shared" si="53"/>
        <v>3.967568070788019E-3</v>
      </c>
    </row>
    <row r="77" spans="5:234" ht="15" customHeight="1">
      <c r="G77" s="30" t="s">
        <v>270</v>
      </c>
      <c r="I77" s="30" t="s">
        <v>271</v>
      </c>
      <c r="FT77" s="29">
        <v>20000</v>
      </c>
      <c r="FU77" s="27">
        <f t="shared" si="11"/>
        <v>125663.70614359173</v>
      </c>
      <c r="FV77" s="30">
        <f t="shared" si="12"/>
        <v>490.98972269461024</v>
      </c>
      <c r="FW77" s="30">
        <f t="shared" si="13"/>
        <v>2.2307220016567619</v>
      </c>
      <c r="FX77" s="34">
        <f t="shared" si="14"/>
        <v>490.99479010716493</v>
      </c>
      <c r="FY77" s="30">
        <f t="shared" si="15"/>
        <v>5.1386526948832148E-3</v>
      </c>
      <c r="FZ77" s="30">
        <f t="shared" si="16"/>
        <v>-1.115361000828381</v>
      </c>
      <c r="GA77" s="34">
        <f t="shared" si="17"/>
        <v>1.1153728380772083</v>
      </c>
      <c r="GB77" s="34">
        <f t="shared" si="18"/>
        <v>574.10396059219408</v>
      </c>
      <c r="GC77" s="34">
        <f t="shared" si="19"/>
        <v>121.81902744292724</v>
      </c>
      <c r="GD77" s="34">
        <f t="shared" si="20"/>
        <v>586.88604772543727</v>
      </c>
      <c r="GE77" s="55">
        <f t="shared" si="21"/>
        <v>12.948019703902967</v>
      </c>
      <c r="GF77" s="55">
        <f t="shared" si="22"/>
        <v>-60.909513721463618</v>
      </c>
      <c r="GG77" s="34">
        <f t="shared" si="23"/>
        <v>62.270539390933692</v>
      </c>
      <c r="GH77" s="30">
        <f t="shared" si="24"/>
        <v>121.00537010007316</v>
      </c>
      <c r="GI77" s="30">
        <f t="shared" si="0"/>
        <v>-2.7819048754066964</v>
      </c>
      <c r="GJ77" s="34">
        <f t="shared" si="25"/>
        <v>121.03734377369446</v>
      </c>
      <c r="GK77" s="34">
        <f t="shared" si="26"/>
        <v>12.948019703902967</v>
      </c>
      <c r="GL77" s="34">
        <f t="shared" si="27"/>
        <v>-124.57149095822174</v>
      </c>
      <c r="GM77" s="34">
        <f t="shared" si="28"/>
        <v>125.24259488611285</v>
      </c>
      <c r="GN77" s="55">
        <f t="shared" si="1"/>
        <v>1174.1039605921942</v>
      </c>
      <c r="GO77" s="55">
        <f t="shared" si="2"/>
        <v>121.81902744292724</v>
      </c>
      <c r="GP77" s="34">
        <f t="shared" si="29"/>
        <v>1180.4067035244325</v>
      </c>
      <c r="GQ77" s="55">
        <f t="shared" si="30"/>
        <v>25.873184624848552</v>
      </c>
      <c r="GR77" s="55">
        <f t="shared" si="31"/>
        <v>-121.82394128225577</v>
      </c>
      <c r="GS77" s="34">
        <f t="shared" si="32"/>
        <v>124.54113518100756</v>
      </c>
      <c r="GT77" s="56">
        <f t="shared" si="33"/>
        <v>1090.9668679116528</v>
      </c>
      <c r="GU77" s="56">
        <f t="shared" si="33"/>
        <v>2.2258081623282209</v>
      </c>
      <c r="GV77" s="34">
        <f t="shared" si="34"/>
        <v>1090.9691384741079</v>
      </c>
      <c r="GW77" s="30">
        <f t="shared" si="35"/>
        <v>108.93012120403121</v>
      </c>
      <c r="GX77" s="30">
        <f t="shared" si="3"/>
        <v>-2.2319452055908702</v>
      </c>
      <c r="GY77" s="34">
        <f t="shared" si="36"/>
        <v>108.95298474537395</v>
      </c>
      <c r="GZ77" s="34">
        <f t="shared" si="56"/>
        <v>599.91984389864149</v>
      </c>
      <c r="HA77" s="34">
        <f t="shared" si="56"/>
        <v>-1.2232039341082412E-3</v>
      </c>
      <c r="HB77" s="34">
        <f t="shared" si="37"/>
        <v>599.91984389988852</v>
      </c>
      <c r="HC77" s="33">
        <f t="shared" si="5"/>
        <v>0.18157446675959157</v>
      </c>
      <c r="HD77" s="33">
        <f t="shared" si="6"/>
        <v>-3.72003547754932E-3</v>
      </c>
      <c r="HE77" s="33">
        <f t="shared" si="57"/>
        <v>0.18161257016788307</v>
      </c>
      <c r="HF77" s="33">
        <f t="shared" si="39"/>
        <v>9.9852256049652685E-2</v>
      </c>
      <c r="HG77" s="33">
        <f t="shared" si="7"/>
        <v>-2.2503712371428303E-3</v>
      </c>
      <c r="HH77" s="33">
        <f t="shared" si="40"/>
        <v>9.9877611149398041E-2</v>
      </c>
      <c r="HI77" s="30">
        <f t="shared" si="54"/>
        <v>3.8492247322653495E-3</v>
      </c>
      <c r="HJ77" s="30">
        <f t="shared" si="41"/>
        <v>-2.0371777210769063E-2</v>
      </c>
      <c r="HK77" s="33">
        <f t="shared" si="42"/>
        <v>2.0732241503626493E-2</v>
      </c>
      <c r="HL77" s="61">
        <f t="shared" si="43"/>
        <v>8.7747026058082687E-4</v>
      </c>
      <c r="HM77" s="61">
        <f t="shared" si="44"/>
        <v>-1.0501590416232396E-2</v>
      </c>
      <c r="HN77" s="33">
        <f t="shared" si="45"/>
        <v>1.0538185580473893E-2</v>
      </c>
      <c r="HO77" s="30">
        <f t="shared" si="46"/>
        <v>-20.01063707111571</v>
      </c>
      <c r="HP77" s="30">
        <f t="shared" si="47"/>
        <v>19.520718274586223</v>
      </c>
      <c r="HQ77" s="29">
        <v>20000</v>
      </c>
      <c r="HR77" s="30">
        <v>125663.70614359173</v>
      </c>
      <c r="HS77" s="30">
        <f t="shared" si="48"/>
        <v>-39.531355345701932</v>
      </c>
      <c r="HT77" s="30">
        <f t="shared" si="49"/>
        <v>-39.544683152907254</v>
      </c>
      <c r="HU77" s="30">
        <f t="shared" si="50"/>
        <v>-1.3327807205321562E-2</v>
      </c>
      <c r="HV77" s="30">
        <f t="shared" si="8"/>
        <v>-19.614697041031036</v>
      </c>
      <c r="HW77" s="30">
        <f t="shared" si="9"/>
        <v>-19.618717979857518</v>
      </c>
      <c r="HX77" s="73">
        <f t="shared" si="51"/>
        <v>-8.0156100111480555E-2</v>
      </c>
      <c r="HY77" s="30">
        <f t="shared" si="52"/>
        <v>-8.0650959239491726E-2</v>
      </c>
      <c r="HZ77" s="74">
        <f t="shared" si="53"/>
        <v>4.0209388264820234E-3</v>
      </c>
    </row>
    <row r="78" spans="5:234" ht="15" customHeight="1">
      <c r="I78" s="104">
        <f>I76*AJ34^2/1000000</f>
        <v>4.4999999999999998E-2</v>
      </c>
      <c r="J78" s="104"/>
      <c r="K78" s="104"/>
      <c r="L78" s="104"/>
      <c r="N78" s="30" t="s">
        <v>46</v>
      </c>
      <c r="FT78" s="29">
        <v>25000</v>
      </c>
      <c r="FU78" s="27">
        <f t="shared" si="11"/>
        <v>157079.63267948964</v>
      </c>
      <c r="FV78" s="30">
        <f t="shared" si="12"/>
        <v>490.99342247429036</v>
      </c>
      <c r="FW78" s="30">
        <f t="shared" si="13"/>
        <v>1.784591237723175</v>
      </c>
      <c r="FX78" s="34">
        <f t="shared" si="14"/>
        <v>490.9966656494754</v>
      </c>
      <c r="FY78" s="30">
        <f t="shared" si="15"/>
        <v>3.2887628547816519E-3</v>
      </c>
      <c r="FZ78" s="30">
        <f t="shared" si="16"/>
        <v>-0.89229561886158748</v>
      </c>
      <c r="GA78" s="34">
        <f t="shared" si="17"/>
        <v>0.89230167959087603</v>
      </c>
      <c r="GB78" s="34">
        <f t="shared" si="18"/>
        <v>583.16449323949814</v>
      </c>
      <c r="GC78" s="34">
        <f t="shared" si="19"/>
        <v>98.996077536038015</v>
      </c>
      <c r="GD78" s="34">
        <f t="shared" si="20"/>
        <v>591.50743828188831</v>
      </c>
      <c r="GE78" s="55">
        <f t="shared" si="21"/>
        <v>8.4177533802509252</v>
      </c>
      <c r="GF78" s="55">
        <f t="shared" si="22"/>
        <v>-49.498038768019008</v>
      </c>
      <c r="GG78" s="34">
        <f t="shared" si="23"/>
        <v>50.208708545938904</v>
      </c>
      <c r="GH78" s="30">
        <f t="shared" si="24"/>
        <v>121.00343688917792</v>
      </c>
      <c r="GI78" s="30">
        <f t="shared" si="0"/>
        <v>-2.2255307277814529</v>
      </c>
      <c r="GJ78" s="34">
        <f t="shared" si="25"/>
        <v>121.02390146584088</v>
      </c>
      <c r="GK78" s="34">
        <f t="shared" si="26"/>
        <v>8.4177533802509252</v>
      </c>
      <c r="GL78" s="34">
        <f t="shared" si="27"/>
        <v>-100.42762055742553</v>
      </c>
      <c r="GM78" s="34">
        <f t="shared" si="28"/>
        <v>100.77978737225519</v>
      </c>
      <c r="GN78" s="55">
        <f t="shared" si="1"/>
        <v>1183.1644932394981</v>
      </c>
      <c r="GO78" s="55">
        <f t="shared" si="2"/>
        <v>98.996077536038015</v>
      </c>
      <c r="GP78" s="34">
        <f t="shared" si="29"/>
        <v>1187.2988003995454</v>
      </c>
      <c r="GQ78" s="55">
        <f t="shared" si="30"/>
        <v>16.82070058983642</v>
      </c>
      <c r="GR78" s="55">
        <f t="shared" si="31"/>
        <v>-98.998613814413858</v>
      </c>
      <c r="GS78" s="34">
        <f t="shared" si="32"/>
        <v>100.41743626237616</v>
      </c>
      <c r="GT78" s="56">
        <f t="shared" si="33"/>
        <v>1090.9786163036249</v>
      </c>
      <c r="GU78" s="56">
        <f t="shared" si="33"/>
        <v>1.7820549593473345</v>
      </c>
      <c r="GV78" s="34">
        <f t="shared" si="34"/>
        <v>1090.9800717481737</v>
      </c>
      <c r="GW78" s="30">
        <f t="shared" si="35"/>
        <v>108.92646443712518</v>
      </c>
      <c r="GX78" s="30">
        <f t="shared" si="3"/>
        <v>-1.7855589576675446</v>
      </c>
      <c r="GY78" s="34">
        <f t="shared" si="36"/>
        <v>108.94109819330629</v>
      </c>
      <c r="GZ78" s="34">
        <f t="shared" si="56"/>
        <v>599.91988691141557</v>
      </c>
      <c r="HA78" s="34">
        <f t="shared" si="56"/>
        <v>-9.6771994436961606E-4</v>
      </c>
      <c r="HB78" s="34">
        <f t="shared" si="37"/>
        <v>599.91988691219615</v>
      </c>
      <c r="HC78" s="33">
        <f t="shared" si="5"/>
        <v>0.18156835553140915</v>
      </c>
      <c r="HD78" s="33">
        <f t="shared" si="6"/>
        <v>-2.9760361163227458E-3</v>
      </c>
      <c r="HE78" s="33">
        <f t="shared" si="57"/>
        <v>0.18159274358119559</v>
      </c>
      <c r="HF78" s="33">
        <f t="shared" si="39"/>
        <v>9.9850819950670286E-2</v>
      </c>
      <c r="HG78" s="33">
        <f t="shared" si="7"/>
        <v>-1.8001982197699451E-3</v>
      </c>
      <c r="HH78" s="33">
        <f t="shared" si="40"/>
        <v>9.9867046408971358E-2</v>
      </c>
      <c r="HI78" s="30">
        <f t="shared" si="54"/>
        <v>2.5023709713484204E-3</v>
      </c>
      <c r="HJ78" s="30">
        <f t="shared" si="41"/>
        <v>-1.6526019498269689E-2</v>
      </c>
      <c r="HK78" s="33">
        <f t="shared" si="42"/>
        <v>1.671440040610004E-2</v>
      </c>
      <c r="HL78" s="61">
        <f t="shared" si="43"/>
        <v>5.6383300006599215E-4</v>
      </c>
      <c r="HM78" s="61">
        <f t="shared" si="44"/>
        <v>-8.4277621677540399E-3</v>
      </c>
      <c r="HN78" s="33">
        <f t="shared" si="45"/>
        <v>8.4466018497493817E-3</v>
      </c>
      <c r="HO78" s="30">
        <f t="shared" si="46"/>
        <v>-20.011555885872593</v>
      </c>
      <c r="HP78" s="30">
        <f t="shared" si="47"/>
        <v>21.44152635448582</v>
      </c>
      <c r="HQ78" s="29">
        <v>25000</v>
      </c>
      <c r="HR78" s="30">
        <v>157079.63267948964</v>
      </c>
      <c r="HS78" s="30">
        <f t="shared" si="48"/>
        <v>-41.453082240358412</v>
      </c>
      <c r="HT78" s="30">
        <f t="shared" si="49"/>
        <v>-41.466359536335524</v>
      </c>
      <c r="HU78" s="30">
        <f t="shared" si="50"/>
        <v>-1.3277295977111692E-2</v>
      </c>
      <c r="HV78" s="30">
        <f t="shared" si="8"/>
        <v>-21.536373424459306</v>
      </c>
      <c r="HW78" s="30">
        <f t="shared" si="9"/>
        <v>-21.540444874513998</v>
      </c>
      <c r="HX78" s="73">
        <f t="shared" si="51"/>
        <v>-8.0113087803852068E-2</v>
      </c>
      <c r="HY78" s="30">
        <f t="shared" si="52"/>
        <v>-8.1569773996374551E-2</v>
      </c>
      <c r="HZ78" s="74">
        <f t="shared" si="53"/>
        <v>4.0714500546918941E-3</v>
      </c>
    </row>
    <row r="79" spans="5:234" ht="15" customHeight="1">
      <c r="FT79" s="29">
        <v>30000</v>
      </c>
      <c r="FU79" s="27">
        <f t="shared" si="11"/>
        <v>188495.55921538759</v>
      </c>
      <c r="FV79" s="30">
        <f t="shared" si="12"/>
        <v>490.99543225485297</v>
      </c>
      <c r="FW79" s="30">
        <f t="shared" si="13"/>
        <v>1.4871655376970589</v>
      </c>
      <c r="FX79" s="34">
        <f t="shared" si="14"/>
        <v>490.9976844715934</v>
      </c>
      <c r="FY79" s="30">
        <f t="shared" si="15"/>
        <v>2.283872573498233E-3</v>
      </c>
      <c r="FZ79" s="30">
        <f t="shared" si="16"/>
        <v>-0.74358276884852947</v>
      </c>
      <c r="GA79" s="34">
        <f t="shared" si="17"/>
        <v>0.74358627623321394</v>
      </c>
      <c r="GB79" s="34">
        <f t="shared" si="18"/>
        <v>588.20739338943099</v>
      </c>
      <c r="GC79" s="34">
        <f t="shared" si="19"/>
        <v>83.211404205126627</v>
      </c>
      <c r="GD79" s="34">
        <f t="shared" si="20"/>
        <v>594.06403310398935</v>
      </c>
      <c r="GE79" s="55">
        <f t="shared" si="21"/>
        <v>5.8963033052845057</v>
      </c>
      <c r="GF79" s="55">
        <f t="shared" si="22"/>
        <v>-41.605702102563313</v>
      </c>
      <c r="GG79" s="34">
        <f t="shared" si="23"/>
        <v>42.021433104014314</v>
      </c>
      <c r="GH79" s="30">
        <f t="shared" si="24"/>
        <v>121.00238673807607</v>
      </c>
      <c r="GI79" s="30">
        <f t="shared" si="0"/>
        <v>-1.8546120304722591</v>
      </c>
      <c r="GJ79" s="34">
        <f t="shared" si="25"/>
        <v>121.01659878749898</v>
      </c>
      <c r="GK79" s="34">
        <f t="shared" si="26"/>
        <v>5.8963033052845057</v>
      </c>
      <c r="GL79" s="34">
        <f t="shared" si="27"/>
        <v>-84.047020260402064</v>
      </c>
      <c r="GM79" s="34">
        <f t="shared" si="28"/>
        <v>84.253593438620427</v>
      </c>
      <c r="GN79" s="55">
        <f t="shared" si="1"/>
        <v>1188.207393389431</v>
      </c>
      <c r="GO79" s="55">
        <f t="shared" si="2"/>
        <v>83.211404205126627</v>
      </c>
      <c r="GP79" s="34">
        <f t="shared" si="29"/>
        <v>1191.1175204383046</v>
      </c>
      <c r="GQ79" s="55">
        <f t="shared" si="30"/>
        <v>11.782256274974847</v>
      </c>
      <c r="GR79" s="55">
        <f t="shared" si="31"/>
        <v>-83.212878429771621</v>
      </c>
      <c r="GS79" s="34">
        <f t="shared" si="32"/>
        <v>84.042874174418472</v>
      </c>
      <c r="GT79" s="56">
        <f t="shared" si="33"/>
        <v>1090.9850819192588</v>
      </c>
      <c r="GU79" s="56">
        <f t="shared" si="33"/>
        <v>1.4856913130520581</v>
      </c>
      <c r="GV79" s="34">
        <f t="shared" si="34"/>
        <v>1090.9860935177173</v>
      </c>
      <c r="GW79" s="30">
        <f t="shared" si="35"/>
        <v>108.92447863091635</v>
      </c>
      <c r="GX79" s="30">
        <f t="shared" si="3"/>
        <v>-1.4879670070801951</v>
      </c>
      <c r="GY79" s="34">
        <f t="shared" si="36"/>
        <v>108.9346413719305</v>
      </c>
      <c r="GZ79" s="34">
        <f t="shared" si="56"/>
        <v>599.91991088576935</v>
      </c>
      <c r="HA79" s="34">
        <f t="shared" si="56"/>
        <v>-8.0146938313618854E-4</v>
      </c>
      <c r="HB79" s="34">
        <f t="shared" si="37"/>
        <v>599.91991088630471</v>
      </c>
      <c r="HC79" s="33">
        <f t="shared" si="5"/>
        <v>0.18156503666924895</v>
      </c>
      <c r="HD79" s="33">
        <f t="shared" si="6"/>
        <v>-2.4800335199168817E-3</v>
      </c>
      <c r="HE79" s="33">
        <f t="shared" si="57"/>
        <v>0.18158197351875441</v>
      </c>
      <c r="HF79" s="33">
        <f t="shared" si="39"/>
        <v>9.9850045776598853E-2</v>
      </c>
      <c r="HG79" s="33">
        <f t="shared" si="7"/>
        <v>-1.5001199220448242E-3</v>
      </c>
      <c r="HH79" s="33">
        <f t="shared" si="40"/>
        <v>9.9861313837588783E-2</v>
      </c>
      <c r="HI79" s="30">
        <f t="shared" si="54"/>
        <v>1.7527802207153644E-3</v>
      </c>
      <c r="HJ79" s="30">
        <f t="shared" si="41"/>
        <v>-1.3877709287894311E-2</v>
      </c>
      <c r="HK79" s="33">
        <f t="shared" si="42"/>
        <v>1.3987961023016866E-2</v>
      </c>
      <c r="HL79" s="61">
        <f t="shared" si="43"/>
        <v>3.9240553183371961E-4</v>
      </c>
      <c r="HM79" s="61">
        <f t="shared" si="44"/>
        <v>-7.0352012910919531E-3</v>
      </c>
      <c r="HN79" s="33">
        <f t="shared" si="45"/>
        <v>7.0461364809089235E-3</v>
      </c>
      <c r="HO79" s="30">
        <f t="shared" si="46"/>
        <v>-20.012054487897096</v>
      </c>
      <c r="HP79" s="30">
        <f t="shared" si="47"/>
        <v>23.01567483308812</v>
      </c>
      <c r="HQ79" s="29">
        <v>30000</v>
      </c>
      <c r="HR79" s="30">
        <v>188495.55921538759</v>
      </c>
      <c r="HS79" s="30">
        <f t="shared" si="48"/>
        <v>-43.027729320985216</v>
      </c>
      <c r="HT79" s="30">
        <f t="shared" si="49"/>
        <v>-43.040978979179599</v>
      </c>
      <c r="HU79" s="30">
        <f t="shared" si="50"/>
        <v>-1.3249658194382619E-2</v>
      </c>
      <c r="HV79" s="30">
        <f t="shared" si="8"/>
        <v>-23.110992867303381</v>
      </c>
      <c r="HW79" s="30">
        <f t="shared" si="9"/>
        <v>-23.115091955140802</v>
      </c>
      <c r="HX79" s="73">
        <f t="shared" si="51"/>
        <v>-8.0089113695294145E-2</v>
      </c>
      <c r="HY79" s="30">
        <f t="shared" si="52"/>
        <v>-8.206837602087802E-2</v>
      </c>
      <c r="HZ79" s="74">
        <f t="shared" si="53"/>
        <v>4.0990878374209672E-3</v>
      </c>
    </row>
    <row r="80" spans="5:234" ht="15" customHeight="1">
      <c r="FT80" s="29">
        <v>40000</v>
      </c>
      <c r="FU80" s="27">
        <f t="shared" si="11"/>
        <v>251327.41228718346</v>
      </c>
      <c r="FV80" s="30">
        <f t="shared" si="12"/>
        <v>490.99743063275042</v>
      </c>
      <c r="FW80" s="30">
        <f t="shared" si="13"/>
        <v>1.1153787567016213</v>
      </c>
      <c r="FX80" s="34">
        <f t="shared" si="14"/>
        <v>490.9986975112393</v>
      </c>
      <c r="FY80" s="30">
        <f t="shared" si="15"/>
        <v>1.2846836247823454E-3</v>
      </c>
      <c r="FZ80" s="30">
        <f t="shared" si="16"/>
        <v>-0.55768937835081067</v>
      </c>
      <c r="GA80" s="34">
        <f t="shared" si="17"/>
        <v>0.55769085803635821</v>
      </c>
      <c r="GB80" s="34">
        <f t="shared" si="18"/>
        <v>593.30902389426433</v>
      </c>
      <c r="GC80" s="34">
        <f t="shared" si="19"/>
        <v>62.950800236958173</v>
      </c>
      <c r="GD80" s="34">
        <f t="shared" si="20"/>
        <v>596.6392554004791</v>
      </c>
      <c r="GE80" s="55">
        <f t="shared" si="21"/>
        <v>3.3454880528678759</v>
      </c>
      <c r="GF80" s="55">
        <f t="shared" si="22"/>
        <v>-31.475400118479087</v>
      </c>
      <c r="GG80" s="34">
        <f t="shared" si="23"/>
        <v>31.65269503423421</v>
      </c>
      <c r="GH80" s="30">
        <f t="shared" si="24"/>
        <v>121.00134254547019</v>
      </c>
      <c r="GI80" s="30">
        <f t="shared" si="0"/>
        <v>-1.3909613276936315</v>
      </c>
      <c r="GJ80" s="34">
        <f t="shared" si="25"/>
        <v>121.00933712413003</v>
      </c>
      <c r="GK80" s="34">
        <f t="shared" si="26"/>
        <v>3.3454880528678759</v>
      </c>
      <c r="GL80" s="34">
        <f t="shared" si="27"/>
        <v>-63.306388736858153</v>
      </c>
      <c r="GM80" s="34">
        <f t="shared" si="28"/>
        <v>63.394724900531607</v>
      </c>
      <c r="GN80" s="55">
        <f t="shared" si="1"/>
        <v>1193.3090238942643</v>
      </c>
      <c r="GO80" s="55">
        <f t="shared" si="2"/>
        <v>62.950800236958173</v>
      </c>
      <c r="GP80" s="34">
        <f t="shared" si="29"/>
        <v>1194.9682965493082</v>
      </c>
      <c r="GQ80" s="55">
        <f t="shared" si="30"/>
        <v>6.6851155757960763</v>
      </c>
      <c r="GR80" s="55">
        <f t="shared" si="31"/>
        <v>-62.951424907884096</v>
      </c>
      <c r="GS80" s="34">
        <f t="shared" si="32"/>
        <v>63.305392094155152</v>
      </c>
      <c r="GT80" s="56">
        <f t="shared" si="33"/>
        <v>1090.9915701028108</v>
      </c>
      <c r="GU80" s="56">
        <f t="shared" si="33"/>
        <v>1.1147540857756937</v>
      </c>
      <c r="GV80" s="34">
        <f t="shared" si="34"/>
        <v>1090.9921396197444</v>
      </c>
      <c r="GW80" s="30">
        <f t="shared" si="35"/>
        <v>108.9225045221466</v>
      </c>
      <c r="GX80" s="30">
        <f t="shared" si="3"/>
        <v>-1.1159761275778282</v>
      </c>
      <c r="GY80" s="34">
        <f t="shared" si="36"/>
        <v>108.92822129317256</v>
      </c>
      <c r="GZ80" s="34">
        <f t="shared" si="56"/>
        <v>599.91993515489708</v>
      </c>
      <c r="HA80" s="34">
        <f t="shared" si="56"/>
        <v>-5.9737087620681528E-4</v>
      </c>
      <c r="HB80" s="34">
        <f t="shared" si="37"/>
        <v>599.91993515519448</v>
      </c>
      <c r="HC80" s="33">
        <f t="shared" si="5"/>
        <v>0.1815617372427365</v>
      </c>
      <c r="HD80" s="33">
        <f t="shared" si="6"/>
        <v>-1.8600276511825749E-3</v>
      </c>
      <c r="HE80" s="33">
        <f t="shared" si="57"/>
        <v>0.18157126461382497</v>
      </c>
      <c r="HF80" s="33">
        <f t="shared" si="39"/>
        <v>9.9849280196378051E-2</v>
      </c>
      <c r="HG80" s="33">
        <f t="shared" si="7"/>
        <v>-1.1250558968529242E-3</v>
      </c>
      <c r="HH80" s="33">
        <f t="shared" si="40"/>
        <v>9.9855618302155932E-2</v>
      </c>
      <c r="HI80" s="30">
        <f t="shared" si="54"/>
        <v>9.9448747781936834E-4</v>
      </c>
      <c r="HJ80" s="30">
        <f t="shared" si="41"/>
        <v>-1.04887274022697E-2</v>
      </c>
      <c r="HK80" s="33">
        <f t="shared" si="42"/>
        <v>1.0535768024337989E-2</v>
      </c>
      <c r="HL80" s="61">
        <f t="shared" si="43"/>
        <v>2.2120832604703204E-4</v>
      </c>
      <c r="HM80" s="61">
        <f t="shared" si="44"/>
        <v>-5.2854386887335042E-3</v>
      </c>
      <c r="HN80" s="33">
        <f t="shared" si="45"/>
        <v>5.2900657137575783E-3</v>
      </c>
      <c r="HO80" s="30">
        <f t="shared" si="46"/>
        <v>-20.012549896991185</v>
      </c>
      <c r="HP80" s="30">
        <f t="shared" si="47"/>
        <v>25.505006727635578</v>
      </c>
      <c r="HQ80" s="29">
        <v>40000</v>
      </c>
      <c r="HR80" s="30">
        <v>251327.41228718346</v>
      </c>
      <c r="HS80" s="30">
        <f t="shared" si="48"/>
        <v>-45.517556624626764</v>
      </c>
      <c r="HT80" s="30">
        <f t="shared" si="49"/>
        <v>-45.530778661583462</v>
      </c>
      <c r="HU80" s="30">
        <f t="shared" si="50"/>
        <v>-1.3222036956697991E-2</v>
      </c>
      <c r="HV80" s="30">
        <f t="shared" si="8"/>
        <v>-25.600792549707243</v>
      </c>
      <c r="HW80" s="30">
        <f t="shared" si="9"/>
        <v>-25.604919258782349</v>
      </c>
      <c r="HX80" s="73">
        <f t="shared" si="51"/>
        <v>-8.0064844805519897E-2</v>
      </c>
      <c r="HY80" s="30">
        <f t="shared" si="52"/>
        <v>-8.2563785114967203E-2</v>
      </c>
      <c r="HZ80" s="74">
        <f t="shared" si="53"/>
        <v>4.1267090751055946E-3</v>
      </c>
    </row>
    <row r="81" spans="176:234" ht="15" customHeight="1">
      <c r="FT81" s="29">
        <v>50000</v>
      </c>
      <c r="FU81" s="27">
        <f t="shared" si="11"/>
        <v>314159.26535897929</v>
      </c>
      <c r="FV81" s="30">
        <f t="shared" si="12"/>
        <v>490.9983556018189</v>
      </c>
      <c r="FW81" s="30">
        <f t="shared" si="13"/>
        <v>0.89230470995552014</v>
      </c>
      <c r="FX81" s="34">
        <f t="shared" si="14"/>
        <v>490.99916640599872</v>
      </c>
      <c r="FY81" s="30">
        <f t="shared" si="15"/>
        <v>8.2219909053023177E-4</v>
      </c>
      <c r="FZ81" s="30">
        <f t="shared" si="16"/>
        <v>-0.44615235497776007</v>
      </c>
      <c r="GA81" s="34">
        <f t="shared" si="17"/>
        <v>0.44615311257856949</v>
      </c>
      <c r="GB81" s="34">
        <f t="shared" si="18"/>
        <v>595.70048431193345</v>
      </c>
      <c r="GC81" s="34">
        <f t="shared" si="19"/>
        <v>50.563988893026462</v>
      </c>
      <c r="GD81" s="34">
        <f t="shared" si="20"/>
        <v>597.84260803513007</v>
      </c>
      <c r="GE81" s="55">
        <f t="shared" si="21"/>
        <v>2.1497578440332537</v>
      </c>
      <c r="GF81" s="55">
        <f t="shared" si="22"/>
        <v>-25.281994446513231</v>
      </c>
      <c r="GG81" s="34">
        <f t="shared" si="23"/>
        <v>25.373228055994538</v>
      </c>
      <c r="GH81" s="30">
        <f t="shared" si="24"/>
        <v>121.00085923067167</v>
      </c>
      <c r="GI81" s="30">
        <f t="shared" si="0"/>
        <v>-1.1127699156091682</v>
      </c>
      <c r="GJ81" s="34">
        <f t="shared" si="25"/>
        <v>121.00597585014512</v>
      </c>
      <c r="GK81" s="34">
        <f t="shared" si="26"/>
        <v>2.1497578440332537</v>
      </c>
      <c r="GL81" s="34">
        <f t="shared" si="27"/>
        <v>-50.746785341216494</v>
      </c>
      <c r="GM81" s="34">
        <f t="shared" si="28"/>
        <v>50.792299428707572</v>
      </c>
      <c r="GN81" s="55">
        <f t="shared" si="1"/>
        <v>1195.7004843119335</v>
      </c>
      <c r="GO81" s="55">
        <f t="shared" si="2"/>
        <v>50.563988893026462</v>
      </c>
      <c r="GP81" s="34">
        <f t="shared" si="29"/>
        <v>1196.7691361146335</v>
      </c>
      <c r="GQ81" s="55">
        <f t="shared" si="30"/>
        <v>4.2957534929504</v>
      </c>
      <c r="GR81" s="55">
        <f t="shared" si="31"/>
        <v>-50.564309375203798</v>
      </c>
      <c r="GS81" s="34">
        <f t="shared" si="32"/>
        <v>50.746456828664584</v>
      </c>
      <c r="GT81" s="56">
        <f t="shared" si="33"/>
        <v>1090.9945934067027</v>
      </c>
      <c r="GU81" s="56">
        <f t="shared" si="33"/>
        <v>0.89198422777818109</v>
      </c>
      <c r="GV81" s="34">
        <f t="shared" si="34"/>
        <v>1090.9949580444993</v>
      </c>
      <c r="GW81" s="30">
        <f t="shared" si="35"/>
        <v>108.92159093294472</v>
      </c>
      <c r="GX81" s="30">
        <f t="shared" si="3"/>
        <v>-0.89278121706273239</v>
      </c>
      <c r="GY81" s="34">
        <f t="shared" si="36"/>
        <v>108.9252497342342</v>
      </c>
      <c r="GZ81" s="34">
        <f t="shared" si="56"/>
        <v>599.91994653476365</v>
      </c>
      <c r="HA81" s="34">
        <f t="shared" si="56"/>
        <v>-4.7650710721225398E-4</v>
      </c>
      <c r="HB81" s="34">
        <f t="shared" si="37"/>
        <v>599.91994653495283</v>
      </c>
      <c r="HC81" s="33">
        <f t="shared" si="5"/>
        <v>0.1815602102766333</v>
      </c>
      <c r="HD81" s="33">
        <f t="shared" si="6"/>
        <v>-1.4880230395546941E-3</v>
      </c>
      <c r="HE81" s="33">
        <f t="shared" si="57"/>
        <v>0.18156630791053041</v>
      </c>
      <c r="HF81" s="33">
        <f t="shared" si="39"/>
        <v>9.9848927270689988E-2</v>
      </c>
      <c r="HG81" s="33">
        <f t="shared" si="7"/>
        <v>-9.0003203180979714E-4</v>
      </c>
      <c r="HH81" s="33">
        <f t="shared" si="40"/>
        <v>9.9852983604726706E-2</v>
      </c>
      <c r="HI81" s="30">
        <f t="shared" si="54"/>
        <v>6.3903663832552715E-4</v>
      </c>
      <c r="HJ81" s="30">
        <f t="shared" si="41"/>
        <v>-8.4211497370839418E-3</v>
      </c>
      <c r="HK81" s="33">
        <f t="shared" si="42"/>
        <v>8.4453614913460821E-3</v>
      </c>
      <c r="HL81" s="61">
        <f t="shared" si="43"/>
        <v>1.4171603816031818E-4</v>
      </c>
      <c r="HM81" s="61">
        <f t="shared" si="44"/>
        <v>-4.2317082219311504E-3</v>
      </c>
      <c r="HN81" s="33">
        <f t="shared" si="45"/>
        <v>4.2340805272256636E-3</v>
      </c>
      <c r="HO81" s="30">
        <f t="shared" si="46"/>
        <v>-20.012779077816475</v>
      </c>
      <c r="HP81" s="30">
        <f t="shared" si="47"/>
        <v>27.438829446965173</v>
      </c>
      <c r="HQ81" s="29">
        <v>50000</v>
      </c>
      <c r="HR81" s="30">
        <v>314159.26535897929</v>
      </c>
      <c r="HS81" s="30">
        <f t="shared" si="48"/>
        <v>-47.451608524781648</v>
      </c>
      <c r="HT81" s="30">
        <f t="shared" si="49"/>
        <v>-47.464817729368612</v>
      </c>
      <c r="HU81" s="30">
        <f t="shared" si="50"/>
        <v>-1.3209204586964063E-2</v>
      </c>
      <c r="HV81" s="30">
        <f t="shared" si="8"/>
        <v>-27.534831617492394</v>
      </c>
      <c r="HW81" s="30">
        <f t="shared" si="9"/>
        <v>-27.538971158937233</v>
      </c>
      <c r="HX81" s="73">
        <f t="shared" si="51"/>
        <v>-8.0053465047171812E-2</v>
      </c>
      <c r="HY81" s="30">
        <f t="shared" si="52"/>
        <v>-8.2792965940257091E-2</v>
      </c>
      <c r="HZ81" s="74">
        <f t="shared" si="53"/>
        <v>4.1395414448395229E-3</v>
      </c>
    </row>
    <row r="82" spans="176:234" ht="15" customHeight="1">
      <c r="FT82" s="29">
        <v>60000</v>
      </c>
      <c r="FU82" s="27">
        <f t="shared" si="11"/>
        <v>376991.11843077518</v>
      </c>
      <c r="FV82" s="30">
        <f t="shared" si="12"/>
        <v>490.99885805563366</v>
      </c>
      <c r="FW82" s="30">
        <f t="shared" si="13"/>
        <v>0.74358802992555617</v>
      </c>
      <c r="FX82" s="34">
        <f t="shared" si="14"/>
        <v>490.9994211148263</v>
      </c>
      <c r="FY82" s="30">
        <f t="shared" si="15"/>
        <v>5.7097218314996448E-4</v>
      </c>
      <c r="FZ82" s="30">
        <f t="shared" si="16"/>
        <v>-0.37179401496277809</v>
      </c>
      <c r="GA82" s="34">
        <f t="shared" si="17"/>
        <v>0.37179445338974115</v>
      </c>
      <c r="GB82" s="34">
        <f t="shared" si="18"/>
        <v>597.0076618223045</v>
      </c>
      <c r="GC82" s="34">
        <f t="shared" si="19"/>
        <v>42.229283117014532</v>
      </c>
      <c r="GD82" s="34">
        <f t="shared" si="20"/>
        <v>598.49934054024823</v>
      </c>
      <c r="GE82" s="55">
        <f t="shared" si="21"/>
        <v>1.4961690888477239</v>
      </c>
      <c r="GF82" s="55">
        <f t="shared" si="22"/>
        <v>-21.114641558507266</v>
      </c>
      <c r="GG82" s="34">
        <f t="shared" si="23"/>
        <v>21.167583945426212</v>
      </c>
      <c r="GH82" s="30">
        <f t="shared" si="24"/>
        <v>121.00059668855896</v>
      </c>
      <c r="GI82" s="30">
        <f t="shared" si="0"/>
        <v>-0.92730864934609869</v>
      </c>
      <c r="GJ82" s="34">
        <f t="shared" si="25"/>
        <v>121.00414993015097</v>
      </c>
      <c r="GK82" s="34">
        <f t="shared" si="26"/>
        <v>1.4961690888477239</v>
      </c>
      <c r="GL82" s="34">
        <f t="shared" si="27"/>
        <v>-42.335300637426641</v>
      </c>
      <c r="GM82" s="34">
        <f t="shared" si="28"/>
        <v>42.361730394351454</v>
      </c>
      <c r="GN82" s="55">
        <f t="shared" si="1"/>
        <v>1197.0076618223045</v>
      </c>
      <c r="GO82" s="55">
        <f t="shared" si="2"/>
        <v>42.229283117014532</v>
      </c>
      <c r="GP82" s="34">
        <f t="shared" si="29"/>
        <v>1197.7523345057098</v>
      </c>
      <c r="GQ82" s="55">
        <f t="shared" si="30"/>
        <v>2.989721209350817</v>
      </c>
      <c r="GR82" s="55">
        <f t="shared" si="31"/>
        <v>-42.229468786261364</v>
      </c>
      <c r="GS82" s="34">
        <f t="shared" si="32"/>
        <v>42.335168204218405</v>
      </c>
      <c r="GT82" s="56">
        <f t="shared" si="33"/>
        <v>1090.996241087289</v>
      </c>
      <c r="GU82" s="56">
        <f t="shared" si="33"/>
        <v>0.74340236067872212</v>
      </c>
      <c r="GV82" s="34">
        <f t="shared" si="34"/>
        <v>1090.9964943635996</v>
      </c>
      <c r="GW82" s="30">
        <f t="shared" si="35"/>
        <v>108.9210946999326</v>
      </c>
      <c r="GX82" s="30">
        <f t="shared" si="3"/>
        <v>-0.74398448836995146</v>
      </c>
      <c r="GY82" s="34">
        <f t="shared" si="36"/>
        <v>108.923635559738</v>
      </c>
      <c r="GZ82" s="34">
        <f t="shared" si="56"/>
        <v>599.91995275556621</v>
      </c>
      <c r="HA82" s="34">
        <f t="shared" si="56"/>
        <v>-3.9645844439528677E-4</v>
      </c>
      <c r="HB82" s="34">
        <f t="shared" si="37"/>
        <v>599.91995275569718</v>
      </c>
      <c r="HC82" s="33">
        <f t="shared" si="5"/>
        <v>0.18155938086614715</v>
      </c>
      <c r="HD82" s="33">
        <f t="shared" si="6"/>
        <v>-1.2400196129555149E-3</v>
      </c>
      <c r="HE82" s="33">
        <f t="shared" si="57"/>
        <v>0.18156361537802443</v>
      </c>
      <c r="HF82" s="33">
        <f t="shared" si="39"/>
        <v>9.9848735939186861E-2</v>
      </c>
      <c r="HG82" s="33">
        <f t="shared" si="7"/>
        <v>-7.5002093303935162E-4</v>
      </c>
      <c r="HH82" s="33">
        <f t="shared" si="40"/>
        <v>9.9851552817437267E-2</v>
      </c>
      <c r="HI82" s="30">
        <f t="shared" si="54"/>
        <v>4.4474894564302658E-4</v>
      </c>
      <c r="HJ82" s="30">
        <f t="shared" si="41"/>
        <v>-7.031366249115335E-3</v>
      </c>
      <c r="HK82" s="33">
        <f t="shared" si="42"/>
        <v>7.0454178693565676E-3</v>
      </c>
      <c r="HL82" s="61">
        <f t="shared" si="43"/>
        <v>9.8467833916650026E-5</v>
      </c>
      <c r="HM82" s="61">
        <f t="shared" si="44"/>
        <v>-3.5279456516398525E-3</v>
      </c>
      <c r="HN82" s="33">
        <f t="shared" si="45"/>
        <v>3.5293195428071941E-3</v>
      </c>
      <c r="HO82" s="30">
        <f t="shared" si="46"/>
        <v>-20.012903538289081</v>
      </c>
      <c r="HP82" s="30">
        <f t="shared" si="47"/>
        <v>29.02007462162954</v>
      </c>
      <c r="HQ82" s="29">
        <v>60000</v>
      </c>
      <c r="HR82" s="30">
        <v>376991.11843077518</v>
      </c>
      <c r="HS82" s="30">
        <f t="shared" si="48"/>
        <v>-49.032978159918621</v>
      </c>
      <c r="HT82" s="30">
        <f t="shared" si="49"/>
        <v>-49.046180381140843</v>
      </c>
      <c r="HU82" s="30">
        <f t="shared" si="50"/>
        <v>-1.3202221222222477E-2</v>
      </c>
      <c r="HV82" s="30">
        <f t="shared" si="8"/>
        <v>-29.116194269264625</v>
      </c>
      <c r="HW82" s="30">
        <f t="shared" si="9"/>
        <v>-29.120340794074206</v>
      </c>
      <c r="HX82" s="73">
        <f t="shared" si="51"/>
        <v>-8.0047244302818399E-2</v>
      </c>
      <c r="HY82" s="30">
        <f t="shared" si="52"/>
        <v>-8.2917426412862483E-2</v>
      </c>
      <c r="HZ82" s="74">
        <f t="shared" si="53"/>
        <v>4.1465248095811091E-3</v>
      </c>
    </row>
    <row r="83" spans="176:234" ht="15" customHeight="1">
      <c r="FT83" s="29">
        <v>70000</v>
      </c>
      <c r="FU83" s="27">
        <f t="shared" si="11"/>
        <v>439822.97150257102</v>
      </c>
      <c r="FV83" s="30">
        <f t="shared" si="12"/>
        <v>490.99916101994063</v>
      </c>
      <c r="FW83" s="30">
        <f t="shared" si="13"/>
        <v>0.63736156730953231</v>
      </c>
      <c r="FX83" s="34">
        <f t="shared" si="14"/>
        <v>490.99957469640754</v>
      </c>
      <c r="FY83" s="30">
        <f t="shared" si="15"/>
        <v>4.1949002969027645E-4</v>
      </c>
      <c r="FZ83" s="30">
        <f t="shared" si="16"/>
        <v>-0.31868078365476615</v>
      </c>
      <c r="GA83" s="34">
        <f t="shared" si="17"/>
        <v>0.31868105974892968</v>
      </c>
      <c r="GB83" s="34">
        <f t="shared" si="18"/>
        <v>597.79862963681671</v>
      </c>
      <c r="GC83" s="34">
        <f t="shared" si="19"/>
        <v>36.244569048401736</v>
      </c>
      <c r="GD83" s="34">
        <f t="shared" si="20"/>
        <v>598.89637699785783</v>
      </c>
      <c r="GE83" s="55">
        <f t="shared" si="21"/>
        <v>1.1006851815916485</v>
      </c>
      <c r="GF83" s="55">
        <f t="shared" si="22"/>
        <v>-18.122284524200868</v>
      </c>
      <c r="GG83" s="34">
        <f t="shared" si="23"/>
        <v>18.155679669047526</v>
      </c>
      <c r="GH83" s="30">
        <f t="shared" si="24"/>
        <v>121.00043838369355</v>
      </c>
      <c r="GI83" s="30">
        <f t="shared" si="0"/>
        <v>-0.79483618482547769</v>
      </c>
      <c r="GJ83" s="34">
        <f t="shared" si="25"/>
        <v>121.00304894343253</v>
      </c>
      <c r="GK83" s="34">
        <f t="shared" si="26"/>
        <v>1.1006851815916485</v>
      </c>
      <c r="GL83" s="34">
        <f t="shared" si="27"/>
        <v>-36.311420877560337</v>
      </c>
      <c r="GM83" s="34">
        <f t="shared" si="28"/>
        <v>36.328099234838866</v>
      </c>
      <c r="GN83" s="55">
        <f t="shared" si="1"/>
        <v>1197.7986296368167</v>
      </c>
      <c r="GO83" s="55">
        <f t="shared" si="2"/>
        <v>36.244569048401736</v>
      </c>
      <c r="GP83" s="34">
        <f t="shared" si="29"/>
        <v>1198.3468721306615</v>
      </c>
      <c r="GQ83" s="55">
        <f t="shared" si="30"/>
        <v>2.1994457702842323</v>
      </c>
      <c r="GR83" s="55">
        <f t="shared" si="31"/>
        <v>-36.244686049263088</v>
      </c>
      <c r="GS83" s="34">
        <f t="shared" si="32"/>
        <v>36.311359496803028</v>
      </c>
      <c r="GT83" s="56">
        <f t="shared" si="33"/>
        <v>1090.9972364270416</v>
      </c>
      <c r="GU83" s="56">
        <f t="shared" si="33"/>
        <v>0.63724456644818162</v>
      </c>
      <c r="GV83" s="34">
        <f t="shared" si="34"/>
        <v>1090.9974225322806</v>
      </c>
      <c r="GW83" s="30">
        <f t="shared" si="35"/>
        <v>108.92079549993156</v>
      </c>
      <c r="GX83" s="30">
        <f t="shared" si="3"/>
        <v>-0.63770106229112233</v>
      </c>
      <c r="GY83" s="34">
        <f t="shared" si="36"/>
        <v>108.92266226540168</v>
      </c>
      <c r="GZ83" s="34">
        <f t="shared" si="56"/>
        <v>599.91995651987213</v>
      </c>
      <c r="HA83" s="34">
        <f t="shared" si="56"/>
        <v>-3.3949498159002722E-4</v>
      </c>
      <c r="HB83" s="34">
        <f t="shared" si="37"/>
        <v>599.9199565199682</v>
      </c>
      <c r="HC83" s="33">
        <f t="shared" si="5"/>
        <v>0.18155888077572901</v>
      </c>
      <c r="HD83" s="33">
        <f t="shared" si="6"/>
        <v>-1.0628741668491475E-3</v>
      </c>
      <c r="HE83" s="33">
        <f t="shared" si="57"/>
        <v>0.18156199186512009</v>
      </c>
      <c r="HF83" s="33">
        <f t="shared" si="39"/>
        <v>9.9848620702420621E-2</v>
      </c>
      <c r="HG83" s="33">
        <f t="shared" si="7"/>
        <v>-6.4287210328943577E-4</v>
      </c>
      <c r="HH83" s="33">
        <f t="shared" si="40"/>
        <v>9.9850690236557946E-2</v>
      </c>
      <c r="HI83" s="30">
        <f t="shared" si="54"/>
        <v>3.2718710767622048E-4</v>
      </c>
      <c r="HJ83" s="30">
        <f t="shared" si="41"/>
        <v>-6.0340124114597778E-3</v>
      </c>
      <c r="HK83" s="33">
        <f t="shared" si="42"/>
        <v>6.0428765654347242E-3</v>
      </c>
      <c r="HL83" s="61">
        <f t="shared" si="43"/>
        <v>7.2367621598971602E-5</v>
      </c>
      <c r="HM83" s="61">
        <f t="shared" si="44"/>
        <v>-3.0247407957315117E-3</v>
      </c>
      <c r="HN83" s="33">
        <f t="shared" si="45"/>
        <v>3.0256063779048308E-3</v>
      </c>
      <c r="HO83" s="30">
        <f t="shared" si="46"/>
        <v>-20.012978572822565</v>
      </c>
      <c r="HP83" s="30">
        <f t="shared" si="47"/>
        <v>30.357574881347954</v>
      </c>
      <c r="HQ83" s="29">
        <v>70000</v>
      </c>
      <c r="HR83" s="30">
        <v>439822.97150257102</v>
      </c>
      <c r="HS83" s="30">
        <f t="shared" si="48"/>
        <v>-50.370553454170519</v>
      </c>
      <c r="HT83" s="30">
        <f t="shared" si="49"/>
        <v>-50.383751460316816</v>
      </c>
      <c r="HU83" s="30">
        <f t="shared" si="50"/>
        <v>-1.3198006146296848E-2</v>
      </c>
      <c r="HV83" s="30">
        <f t="shared" si="8"/>
        <v>-30.453765348440598</v>
      </c>
      <c r="HW83" s="30">
        <f t="shared" si="9"/>
        <v>-30.457916088326105</v>
      </c>
      <c r="HX83" s="73">
        <f t="shared" si="51"/>
        <v>-8.0043480031804393E-2</v>
      </c>
      <c r="HY83" s="30">
        <f t="shared" si="52"/>
        <v>-8.2992460946346824E-2</v>
      </c>
      <c r="HZ83" s="74">
        <f t="shared" si="53"/>
        <v>4.1507398855067379E-3</v>
      </c>
    </row>
    <row r="84" spans="176:234" ht="15" customHeight="1">
      <c r="FT84" s="29">
        <v>80000</v>
      </c>
      <c r="FU84" s="27">
        <f t="shared" si="11"/>
        <v>502654.82457436691</v>
      </c>
      <c r="FV84" s="30">
        <f t="shared" si="12"/>
        <v>490.99935765563123</v>
      </c>
      <c r="FW84" s="30">
        <f t="shared" si="13"/>
        <v>0.55769159787913203</v>
      </c>
      <c r="FX84" s="34">
        <f t="shared" si="14"/>
        <v>490.9996743768379</v>
      </c>
      <c r="FY84" s="30">
        <f t="shared" si="15"/>
        <v>3.2117218441236786E-4</v>
      </c>
      <c r="FZ84" s="30">
        <f t="shared" si="16"/>
        <v>-0.27884579893956601</v>
      </c>
      <c r="GA84" s="34">
        <f t="shared" si="17"/>
        <v>0.27884598390117959</v>
      </c>
      <c r="GB84" s="34">
        <f t="shared" si="18"/>
        <v>598.31312271405238</v>
      </c>
      <c r="GC84" s="34">
        <f t="shared" si="19"/>
        <v>31.741340388562307</v>
      </c>
      <c r="GD84" s="34">
        <f t="shared" si="20"/>
        <v>599.15449218169374</v>
      </c>
      <c r="GE84" s="55">
        <f t="shared" si="21"/>
        <v>0.84343864297378601</v>
      </c>
      <c r="GF84" s="55">
        <f t="shared" si="22"/>
        <v>-15.870670194281153</v>
      </c>
      <c r="GG84" s="34">
        <f t="shared" si="23"/>
        <v>15.893066449244641</v>
      </c>
      <c r="GH84" s="30">
        <f t="shared" si="24"/>
        <v>121.00033563764582</v>
      </c>
      <c r="GI84" s="30">
        <f t="shared" si="0"/>
        <v>-0.69548177511768428</v>
      </c>
      <c r="GJ84" s="34">
        <f t="shared" si="25"/>
        <v>121.00233435484813</v>
      </c>
      <c r="GK84" s="34">
        <f t="shared" si="26"/>
        <v>0.84343864297378601</v>
      </c>
      <c r="GL84" s="34">
        <f t="shared" si="27"/>
        <v>-31.786164503470687</v>
      </c>
      <c r="GM84" s="34">
        <f t="shared" si="28"/>
        <v>31.797352760664864</v>
      </c>
      <c r="GN84" s="55">
        <f t="shared" si="1"/>
        <v>1198.3131227140525</v>
      </c>
      <c r="GO84" s="55">
        <f t="shared" si="2"/>
        <v>31.741340388562307</v>
      </c>
      <c r="GP84" s="34">
        <f t="shared" si="29"/>
        <v>1198.7334369067905</v>
      </c>
      <c r="GQ84" s="55">
        <f t="shared" si="30"/>
        <v>1.68540281341396</v>
      </c>
      <c r="GR84" s="55">
        <f t="shared" si="31"/>
        <v>-31.741418803921416</v>
      </c>
      <c r="GS84" s="34">
        <f t="shared" si="32"/>
        <v>31.786132987977631</v>
      </c>
      <c r="GT84" s="56">
        <f t="shared" si="33"/>
        <v>1090.9978831830977</v>
      </c>
      <c r="GU84" s="56">
        <f t="shared" si="33"/>
        <v>0.55761318252002567</v>
      </c>
      <c r="GV84" s="34">
        <f t="shared" si="34"/>
        <v>1090.9980256822014</v>
      </c>
      <c r="GW84" s="30">
        <f t="shared" si="35"/>
        <v>108.92060131280749</v>
      </c>
      <c r="GX84" s="30">
        <f t="shared" si="3"/>
        <v>-0.55798847035851407</v>
      </c>
      <c r="GY84" s="34">
        <f t="shared" si="36"/>
        <v>108.92203056074842</v>
      </c>
      <c r="GZ84" s="34">
        <f t="shared" si="56"/>
        <v>599.91995896843878</v>
      </c>
      <c r="HA84" s="34">
        <f t="shared" si="56"/>
        <v>-2.9687247938203765E-4</v>
      </c>
      <c r="HB84" s="34">
        <f t="shared" si="37"/>
        <v>599.91995896851222</v>
      </c>
      <c r="HC84" s="33">
        <f t="shared" si="5"/>
        <v>0.18155855620505132</v>
      </c>
      <c r="HD84" s="33">
        <f t="shared" si="6"/>
        <v>-9.3001501663513236E-4</v>
      </c>
      <c r="HE84" s="33">
        <f t="shared" si="57"/>
        <v>0.18156093814252541</v>
      </c>
      <c r="HF84" s="33">
        <f t="shared" si="39"/>
        <v>9.984854596179614E-2</v>
      </c>
      <c r="HG84" s="33">
        <f t="shared" si="7"/>
        <v>-5.6251139495531446E-4</v>
      </c>
      <c r="HH84" s="33">
        <f t="shared" si="40"/>
        <v>9.9850130444353299E-2</v>
      </c>
      <c r="HI84" s="30">
        <f t="shared" si="54"/>
        <v>2.5071815753252151E-4</v>
      </c>
      <c r="HJ84" s="30">
        <f t="shared" si="41"/>
        <v>-5.2838172396780696E-3</v>
      </c>
      <c r="HK84" s="33">
        <f t="shared" si="42"/>
        <v>5.2897622079669778E-3</v>
      </c>
      <c r="HL84" s="61">
        <f t="shared" si="43"/>
        <v>5.541834661660396E-5</v>
      </c>
      <c r="HM84" s="61">
        <f t="shared" si="44"/>
        <v>-2.6470956015454575E-3</v>
      </c>
      <c r="HN84" s="33">
        <f t="shared" si="45"/>
        <v>2.6476756441949278E-3</v>
      </c>
      <c r="HO84" s="30">
        <f t="shared" si="46"/>
        <v>-20.013027268599508</v>
      </c>
      <c r="HP84" s="30">
        <f t="shared" si="47"/>
        <v>31.516481854675504</v>
      </c>
      <c r="HQ84" s="29">
        <v>80000</v>
      </c>
      <c r="HR84" s="30">
        <v>502654.82457436691</v>
      </c>
      <c r="HS84" s="30">
        <f t="shared" si="48"/>
        <v>-51.529509123275012</v>
      </c>
      <c r="HT84" s="30">
        <f t="shared" si="49"/>
        <v>-51.542704391930855</v>
      </c>
      <c r="HU84" s="30">
        <f t="shared" si="50"/>
        <v>-1.3195268655842085E-2</v>
      </c>
      <c r="HV84" s="30">
        <f t="shared" si="8"/>
        <v>-31.612718280054636</v>
      </c>
      <c r="HW84" s="30">
        <f t="shared" si="9"/>
        <v>-31.616871757430598</v>
      </c>
      <c r="HX84" s="73">
        <f t="shared" si="51"/>
        <v>-8.0041031487780856E-2</v>
      </c>
      <c r="HY84" s="30">
        <f t="shared" si="52"/>
        <v>-8.3041156723290044E-2</v>
      </c>
      <c r="HZ84" s="74">
        <f t="shared" si="53"/>
        <v>4.1534773759615007E-3</v>
      </c>
    </row>
    <row r="85" spans="176:234" ht="15" customHeight="1">
      <c r="FT85" s="29">
        <v>90000</v>
      </c>
      <c r="FU85" s="27">
        <f t="shared" si="11"/>
        <v>565486.6776461628</v>
      </c>
      <c r="FV85" s="30">
        <f t="shared" si="12"/>
        <v>490.99949246850554</v>
      </c>
      <c r="FW85" s="30">
        <f t="shared" si="13"/>
        <v>0.49572600280483292</v>
      </c>
      <c r="FX85" s="34">
        <f t="shared" si="14"/>
        <v>490.99974271744776</v>
      </c>
      <c r="FY85" s="30">
        <f t="shared" si="15"/>
        <v>2.537657472279086E-4</v>
      </c>
      <c r="FZ85" s="30">
        <f t="shared" si="16"/>
        <v>-0.24786300140241646</v>
      </c>
      <c r="GA85" s="34">
        <f t="shared" si="17"/>
        <v>0.24786313130691456</v>
      </c>
      <c r="GB85" s="34">
        <f t="shared" si="18"/>
        <v>598.66637038910426</v>
      </c>
      <c r="GC85" s="34">
        <f t="shared" si="19"/>
        <v>28.231212049261035</v>
      </c>
      <c r="GD85" s="34">
        <f t="shared" si="20"/>
        <v>599.33164806193452</v>
      </c>
      <c r="GE85" s="55">
        <f t="shared" si="21"/>
        <v>0.66681480544782534</v>
      </c>
      <c r="GF85" s="55">
        <f t="shared" si="22"/>
        <v>-14.115606024630518</v>
      </c>
      <c r="GG85" s="34">
        <f t="shared" si="23"/>
        <v>14.131347261579478</v>
      </c>
      <c r="GH85" s="30">
        <f t="shared" si="24"/>
        <v>121.00026519524761</v>
      </c>
      <c r="GI85" s="30">
        <f t="shared" si="0"/>
        <v>-0.61820609143221716</v>
      </c>
      <c r="GJ85" s="34">
        <f t="shared" si="25"/>
        <v>121.00184443260248</v>
      </c>
      <c r="GK85" s="34">
        <f t="shared" si="26"/>
        <v>0.66681480544782534</v>
      </c>
      <c r="GL85" s="34">
        <f t="shared" si="27"/>
        <v>-28.262712077243435</v>
      </c>
      <c r="GM85" s="34">
        <f t="shared" si="28"/>
        <v>28.270577212818388</v>
      </c>
      <c r="GN85" s="55">
        <f t="shared" si="1"/>
        <v>1198.6663703891043</v>
      </c>
      <c r="GO85" s="55">
        <f t="shared" si="2"/>
        <v>28.231212049261035</v>
      </c>
      <c r="GP85" s="34">
        <f t="shared" si="29"/>
        <v>1198.9987776622459</v>
      </c>
      <c r="GQ85" s="55">
        <f t="shared" si="30"/>
        <v>1.3324640773225682</v>
      </c>
      <c r="GR85" s="55">
        <f t="shared" si="31"/>
        <v>-28.231267139217305</v>
      </c>
      <c r="GS85" s="34">
        <f t="shared" si="32"/>
        <v>28.262694577892002</v>
      </c>
      <c r="GT85" s="56">
        <f t="shared" si="33"/>
        <v>1090.9983269349323</v>
      </c>
      <c r="GU85" s="56">
        <f t="shared" si="33"/>
        <v>0.49567091284856346</v>
      </c>
      <c r="GV85" s="34">
        <f t="shared" si="34"/>
        <v>1090.9984395334739</v>
      </c>
      <c r="GW85" s="30">
        <f t="shared" si="35"/>
        <v>108.92046818111524</v>
      </c>
      <c r="GX85" s="30">
        <f t="shared" si="3"/>
        <v>-0.49598977625275159</v>
      </c>
      <c r="GY85" s="34">
        <f t="shared" si="36"/>
        <v>108.92159746648727</v>
      </c>
      <c r="GZ85" s="34">
        <f t="shared" si="56"/>
        <v>599.91996064962075</v>
      </c>
      <c r="HA85" s="34">
        <f t="shared" si="56"/>
        <v>-2.637734479186693E-4</v>
      </c>
      <c r="HB85" s="34">
        <f t="shared" si="37"/>
        <v>599.91996064967873</v>
      </c>
      <c r="HC85" s="33">
        <f t="shared" si="5"/>
        <v>0.18155833368375918</v>
      </c>
      <c r="HD85" s="33">
        <f t="shared" si="6"/>
        <v>-8.2668008820384797E-4</v>
      </c>
      <c r="HE85" s="33">
        <f t="shared" si="57"/>
        <v>0.18156021571366199</v>
      </c>
      <c r="HF85" s="33">
        <f t="shared" si="39"/>
        <v>9.9848494743762103E-2</v>
      </c>
      <c r="HG85" s="33">
        <f t="shared" si="7"/>
        <v>-5.0000909488865297E-4</v>
      </c>
      <c r="HH85" s="33">
        <f t="shared" si="40"/>
        <v>9.9849746678146653E-2</v>
      </c>
      <c r="HI85" s="30">
        <f t="shared" si="54"/>
        <v>1.9821521999380715E-4</v>
      </c>
      <c r="HJ85" s="30">
        <f t="shared" si="41"/>
        <v>-4.6992020647921035E-3</v>
      </c>
      <c r="HK85" s="33">
        <f t="shared" si="42"/>
        <v>4.7033806266539345E-3</v>
      </c>
      <c r="HL85" s="61">
        <f t="shared" si="43"/>
        <v>4.3793776839464825E-5</v>
      </c>
      <c r="HM85" s="61">
        <f t="shared" si="44"/>
        <v>-2.3532466247134279E-3</v>
      </c>
      <c r="HN85" s="33">
        <f t="shared" si="45"/>
        <v>2.3536540892015135E-3</v>
      </c>
      <c r="HO85" s="30">
        <f t="shared" si="46"/>
        <v>-20.013060652204601</v>
      </c>
      <c r="HP85" s="30">
        <f t="shared" si="47"/>
        <v>32.538893236809606</v>
      </c>
      <c r="HQ85" s="29">
        <v>90000</v>
      </c>
      <c r="HR85" s="30">
        <v>565486.6776461628</v>
      </c>
      <c r="HS85" s="30">
        <f t="shared" si="48"/>
        <v>-52.551953889014207</v>
      </c>
      <c r="HT85" s="30">
        <f t="shared" si="49"/>
        <v>-52.565147280061808</v>
      </c>
      <c r="HU85" s="30">
        <f t="shared" si="50"/>
        <v>-1.3193391047600755E-2</v>
      </c>
      <c r="HV85" s="30">
        <f t="shared" si="8"/>
        <v>-32.63516116818559</v>
      </c>
      <c r="HW85" s="30">
        <f t="shared" si="9"/>
        <v>-32.639316523169796</v>
      </c>
      <c r="HX85" s="73">
        <f t="shared" si="51"/>
        <v>-8.0039350321271741E-2</v>
      </c>
      <c r="HY85" s="30">
        <f t="shared" si="52"/>
        <v>-8.3074540328382795E-2</v>
      </c>
      <c r="HZ85" s="74">
        <f t="shared" si="53"/>
        <v>4.1553549842063831E-3</v>
      </c>
    </row>
    <row r="86" spans="176:234" ht="15" customHeight="1">
      <c r="FT86" s="29">
        <v>100000</v>
      </c>
      <c r="FU86" s="27">
        <f t="shared" si="11"/>
        <v>628318.53071795858</v>
      </c>
      <c r="FV86" s="30">
        <f t="shared" si="12"/>
        <v>490.99958889940768</v>
      </c>
      <c r="FW86" s="30">
        <f t="shared" si="13"/>
        <v>0.44615349137897425</v>
      </c>
      <c r="FX86" s="34">
        <f t="shared" si="14"/>
        <v>490.99979160110161</v>
      </c>
      <c r="FY86" s="30">
        <f t="shared" si="15"/>
        <v>2.055502961914019E-4</v>
      </c>
      <c r="FZ86" s="30">
        <f t="shared" si="16"/>
        <v>-0.22307674568948713</v>
      </c>
      <c r="GA86" s="34">
        <f t="shared" si="17"/>
        <v>0.22307684038988981</v>
      </c>
      <c r="GB86" s="34">
        <f t="shared" si="18"/>
        <v>598.91930282072497</v>
      </c>
      <c r="GC86" s="34">
        <f t="shared" si="19"/>
        <v>25.418844416012938</v>
      </c>
      <c r="GD86" s="34">
        <f t="shared" si="20"/>
        <v>599.45846306704914</v>
      </c>
      <c r="GE86" s="55">
        <f t="shared" si="21"/>
        <v>0.54034858963748567</v>
      </c>
      <c r="GF86" s="55">
        <f>-(FP$12^2*FU86*FP$19)/((2*FP$12+FP$17)^2+(FU86*FP$19)^2)</f>
        <v>-12.709422208006469</v>
      </c>
      <c r="GG86" s="34">
        <f t="shared" si="23"/>
        <v>12.720903641632196</v>
      </c>
      <c r="GH86" s="30">
        <f t="shared" si="24"/>
        <v>121.00021480819149</v>
      </c>
      <c r="GI86" s="30">
        <f t="shared" si="0"/>
        <v>-0.55638552677662567</v>
      </c>
      <c r="GJ86" s="34">
        <f t="shared" si="25"/>
        <v>121.00149399277221</v>
      </c>
      <c r="GK86" s="34">
        <f t="shared" si="26"/>
        <v>0.54034858963748567</v>
      </c>
      <c r="GL86" s="34">
        <f t="shared" si="27"/>
        <v>-25.441817655358101</v>
      </c>
      <c r="GM86" s="34">
        <f t="shared" si="28"/>
        <v>25.447555132208954</v>
      </c>
      <c r="GN86" s="55">
        <f t="shared" si="1"/>
        <v>1198.9193028207251</v>
      </c>
      <c r="GO86" s="55">
        <f t="shared" si="2"/>
        <v>25.418844416012938</v>
      </c>
      <c r="GP86" s="34">
        <f t="shared" si="29"/>
        <v>1199.1887309041804</v>
      </c>
      <c r="GQ86" s="55">
        <f t="shared" si="30"/>
        <v>1.0797527966923046</v>
      </c>
      <c r="GR86" s="55">
        <f t="shared" si="31"/>
        <v>-25.418884585116526</v>
      </c>
      <c r="GS86" s="34">
        <f t="shared" si="32"/>
        <v>25.44180731892763</v>
      </c>
      <c r="GT86" s="56">
        <f t="shared" si="33"/>
        <v>1090.9986445168249</v>
      </c>
      <c r="GU86" s="56">
        <f t="shared" si="33"/>
        <v>0.44611332227538725</v>
      </c>
      <c r="GV86" s="34">
        <f t="shared" si="34"/>
        <v>1090.9987357255029</v>
      </c>
      <c r="GW86" s="30">
        <f t="shared" si="35"/>
        <v>108.9203729539779</v>
      </c>
      <c r="GX86" s="30">
        <f t="shared" si="3"/>
        <v>-0.44639081457430968</v>
      </c>
      <c r="GY86" s="34">
        <f t="shared" si="36"/>
        <v>108.92128767689526</v>
      </c>
      <c r="GZ86" s="34">
        <f t="shared" si="56"/>
        <v>599.91996185338553</v>
      </c>
      <c r="HA86" s="34">
        <f t="shared" si="56"/>
        <v>-2.3732319533542601E-4</v>
      </c>
      <c r="HB86" s="34">
        <f t="shared" si="37"/>
        <v>599.91996185343248</v>
      </c>
      <c r="HC86" s="33">
        <f t="shared" si="5"/>
        <v>0.18155817451723383</v>
      </c>
      <c r="HD86" s="33">
        <f t="shared" si="6"/>
        <v>-7.4401212659977608E-4</v>
      </c>
      <c r="HE86" s="33">
        <f t="shared" si="57"/>
        <v>0.18155969896448623</v>
      </c>
      <c r="HF86" s="33">
        <f t="shared" si="39"/>
        <v>9.9848458119735778E-2</v>
      </c>
      <c r="HG86" s="33">
        <f t="shared" si="7"/>
        <v>-4.5000751944123069E-4</v>
      </c>
      <c r="HH86" s="33">
        <f t="shared" si="40"/>
        <v>9.9849472185165725E-2</v>
      </c>
      <c r="HI86" s="30">
        <f t="shared" si="54"/>
        <v>1.6062214056730722E-4</v>
      </c>
      <c r="HJ86" s="30">
        <f t="shared" si="41"/>
        <v>-4.2308771982329041E-3</v>
      </c>
      <c r="HK86" s="33">
        <f t="shared" si="42"/>
        <v>4.2339250511277985E-3</v>
      </c>
      <c r="HL86" s="61">
        <f t="shared" si="43"/>
        <v>3.5476692167449127E-5</v>
      </c>
      <c r="HM86" s="61">
        <f t="shared" si="44"/>
        <v>-2.1180975979649096E-3</v>
      </c>
      <c r="HN86" s="33">
        <f t="shared" si="45"/>
        <v>2.1183946823460126E-3</v>
      </c>
      <c r="HO86" s="30">
        <f t="shared" si="46"/>
        <v>-20.013084530272351</v>
      </c>
      <c r="HP86" s="30">
        <f t="shared" si="47"/>
        <v>33.453585870463826</v>
      </c>
      <c r="HQ86" s="29">
        <v>100000</v>
      </c>
      <c r="HR86" s="30">
        <v>628318.53071795858</v>
      </c>
      <c r="HS86" s="30">
        <f t="shared" si="48"/>
        <v>-53.466670400736177</v>
      </c>
      <c r="HT86" s="30">
        <f t="shared" si="49"/>
        <v>-53.479862448345287</v>
      </c>
      <c r="HU86" s="30">
        <f t="shared" si="50"/>
        <v>-1.3192047609109636E-2</v>
      </c>
      <c r="HV86" s="30">
        <f t="shared" si="8"/>
        <v>-33.549876336469069</v>
      </c>
      <c r="HW86" s="30">
        <f t="shared" si="9"/>
        <v>-33.554033034891759</v>
      </c>
      <c r="HX86" s="73">
        <f t="shared" si="51"/>
        <v>-8.0038146567517288E-2</v>
      </c>
      <c r="HY86" s="30">
        <f t="shared" si="52"/>
        <v>-8.3098418396133411E-2</v>
      </c>
      <c r="HZ86" s="74">
        <f t="shared" si="53"/>
        <v>4.1566984226903969E-3</v>
      </c>
    </row>
    <row r="87" spans="176:234" ht="15" customHeight="1">
      <c r="HQ87" s="29"/>
    </row>
    <row r="88" spans="176:234" ht="15" customHeight="1">
      <c r="HQ88" s="29"/>
    </row>
    <row r="89" spans="176:234" ht="15" customHeight="1">
      <c r="HQ89" s="29"/>
    </row>
    <row r="90" spans="176:234" ht="15" customHeight="1">
      <c r="HQ90" s="29"/>
    </row>
    <row r="91" spans="176:234" ht="15" customHeight="1">
      <c r="HQ91" s="29"/>
    </row>
    <row r="92" spans="176:234" ht="15" customHeight="1">
      <c r="HQ92" s="29"/>
    </row>
    <row r="93" spans="176:234" ht="15" customHeight="1">
      <c r="HQ93" s="29"/>
    </row>
    <row r="94" spans="176:234" ht="15" customHeight="1">
      <c r="HQ94" s="29"/>
    </row>
    <row r="95" spans="176:234" ht="15" customHeight="1">
      <c r="HQ95" s="29"/>
    </row>
    <row r="96" spans="176:234" ht="15" customHeight="1">
      <c r="HQ96" s="29"/>
    </row>
    <row r="97" spans="225:225" ht="15" customHeight="1">
      <c r="HQ97" s="29"/>
    </row>
    <row r="98" spans="225:225" ht="15" customHeight="1">
      <c r="HQ98" s="29"/>
    </row>
    <row r="99" spans="225:225" ht="15" customHeight="1">
      <c r="HQ99" s="29"/>
    </row>
    <row r="100" spans="225:225" ht="15" customHeight="1">
      <c r="HQ100" s="29"/>
    </row>
    <row r="101" spans="225:225" ht="15" customHeight="1">
      <c r="HQ101" s="29"/>
    </row>
    <row r="1158" spans="43:43" ht="15" customHeight="1">
      <c r="AQ1158" s="30" t="s">
        <v>0</v>
      </c>
    </row>
  </sheetData>
  <mergeCells count="474">
    <mergeCell ref="CK4:CL5"/>
    <mergeCell ref="CM4:CN5"/>
    <mergeCell ref="CO4:CR4"/>
    <mergeCell ref="CS4:CS5"/>
    <mergeCell ref="CT4:CU5"/>
    <mergeCell ref="CV4:DC4"/>
    <mergeCell ref="CO6:CU6"/>
    <mergeCell ref="CV6:CW7"/>
    <mergeCell ref="CX6:DC6"/>
    <mergeCell ref="CM6:CN7"/>
    <mergeCell ref="FC7:FH7"/>
    <mergeCell ref="DT6:DU7"/>
    <mergeCell ref="DV6:DW7"/>
    <mergeCell ref="DX6:DY7"/>
    <mergeCell ref="DZ6:EA7"/>
    <mergeCell ref="EB6:EB7"/>
    <mergeCell ref="CO7:CU7"/>
    <mergeCell ref="CX7:DC7"/>
    <mergeCell ref="DF6:DG7"/>
    <mergeCell ref="DH6:DK7"/>
    <mergeCell ref="DL6:DM7"/>
    <mergeCell ref="DN6:DQ7"/>
    <mergeCell ref="DR6:DR7"/>
    <mergeCell ref="DS6:DS7"/>
    <mergeCell ref="FC4:FH4"/>
    <mergeCell ref="CO5:CR5"/>
    <mergeCell ref="CV5:DC5"/>
    <mergeCell ref="DG5:DR5"/>
    <mergeCell ref="DV5:EF5"/>
    <mergeCell ref="EH5:ER5"/>
    <mergeCell ref="DD4:DD5"/>
    <mergeCell ref="DE4:DF5"/>
    <mergeCell ref="DG4:DR4"/>
    <mergeCell ref="DS4:DS5"/>
    <mergeCell ref="DT4:DU5"/>
    <mergeCell ref="ET4:ET5"/>
    <mergeCell ref="CD10:CD11"/>
    <mergeCell ref="CE10:CF11"/>
    <mergeCell ref="CG10:CI10"/>
    <mergeCell ref="CM10:CM11"/>
    <mergeCell ref="CN10:CO11"/>
    <mergeCell ref="CP10:CT10"/>
    <mergeCell ref="CL8:CM9"/>
    <mergeCell ref="CN8:CO9"/>
    <mergeCell ref="CP8:CR8"/>
    <mergeCell ref="CS8:CS9"/>
    <mergeCell ref="CT8:CU9"/>
    <mergeCell ref="CP9:CR9"/>
    <mergeCell ref="CV8:DF8"/>
    <mergeCell ref="DG8:DG9"/>
    <mergeCell ref="DH8:DI9"/>
    <mergeCell ref="DJ8:DS8"/>
    <mergeCell ref="DD6:DD7"/>
    <mergeCell ref="DE6:DE7"/>
    <mergeCell ref="DT8:DU9"/>
    <mergeCell ref="DV8:EE8"/>
    <mergeCell ref="EF8:EF9"/>
    <mergeCell ref="CV9:DF9"/>
    <mergeCell ref="DJ9:DS9"/>
    <mergeCell ref="DV9:EE9"/>
    <mergeCell ref="DX10:DY11"/>
    <mergeCell ref="DZ10:EA11"/>
    <mergeCell ref="EB10:EB11"/>
    <mergeCell ref="FC10:FH10"/>
    <mergeCell ref="CG11:CI11"/>
    <mergeCell ref="CP11:CT11"/>
    <mergeCell ref="CW11:DA11"/>
    <mergeCell ref="DK10:DL11"/>
    <mergeCell ref="DM10:DQ11"/>
    <mergeCell ref="DR10:DR11"/>
    <mergeCell ref="DS10:DS11"/>
    <mergeCell ref="DT10:DU11"/>
    <mergeCell ref="DV10:DW11"/>
    <mergeCell ref="CU10:CV11"/>
    <mergeCell ref="CW10:DA10"/>
    <mergeCell ref="DB10:DB11"/>
    <mergeCell ref="DC10:DC11"/>
    <mergeCell ref="DD10:DE11"/>
    <mergeCell ref="DF10:DJ11"/>
    <mergeCell ref="CP13:CT13"/>
    <mergeCell ref="CU13:CV13"/>
    <mergeCell ref="CW13:DA13"/>
    <mergeCell ref="DH13:DI13"/>
    <mergeCell ref="FC13:FH13"/>
    <mergeCell ref="CK14:CL15"/>
    <mergeCell ref="CM14:CN15"/>
    <mergeCell ref="CO14:CR14"/>
    <mergeCell ref="CS14:CS15"/>
    <mergeCell ref="CT14:CU15"/>
    <mergeCell ref="EG16:EG17"/>
    <mergeCell ref="FC16:FH16"/>
    <mergeCell ref="CV17:DL17"/>
    <mergeCell ref="DO17:EF17"/>
    <mergeCell ref="CV14:DL14"/>
    <mergeCell ref="A15:B15"/>
    <mergeCell ref="CO15:CR15"/>
    <mergeCell ref="CV15:DL15"/>
    <mergeCell ref="CS16:CS17"/>
    <mergeCell ref="CT16:CU17"/>
    <mergeCell ref="CV16:DL16"/>
    <mergeCell ref="DM16:DM17"/>
    <mergeCell ref="DN16:DN17"/>
    <mergeCell ref="DO16:EF16"/>
    <mergeCell ref="DV18:DV19"/>
    <mergeCell ref="DW18:DW19"/>
    <mergeCell ref="DX18:DY19"/>
    <mergeCell ref="DZ18:EA19"/>
    <mergeCell ref="EB18:EB19"/>
    <mergeCell ref="EC18:EC19"/>
    <mergeCell ref="DL18:DO19"/>
    <mergeCell ref="DP18:DQ19"/>
    <mergeCell ref="DR18:DU19"/>
    <mergeCell ref="ED18:EE19"/>
    <mergeCell ref="EF18:EF19"/>
    <mergeCell ref="EK18:EN18"/>
    <mergeCell ref="EO18:EO19"/>
    <mergeCell ref="EP18:FI18"/>
    <mergeCell ref="CV19:CZ19"/>
    <mergeCell ref="DC19:DG19"/>
    <mergeCell ref="EP19:FI19"/>
    <mergeCell ref="CS18:CS19"/>
    <mergeCell ref="CT18:CU19"/>
    <mergeCell ref="CV18:CZ18"/>
    <mergeCell ref="DA18:DA19"/>
    <mergeCell ref="DB18:DB19"/>
    <mergeCell ref="DC18:DG18"/>
    <mergeCell ref="DH18:DH19"/>
    <mergeCell ref="DI18:DI19"/>
    <mergeCell ref="DJ18:DK19"/>
    <mergeCell ref="CK22:CL23"/>
    <mergeCell ref="CM22:CN23"/>
    <mergeCell ref="CO22:CQ22"/>
    <mergeCell ref="CR22:CR23"/>
    <mergeCell ref="CS22:CT23"/>
    <mergeCell ref="CU22:CY22"/>
    <mergeCell ref="EI20:EI21"/>
    <mergeCell ref="EJ20:EK21"/>
    <mergeCell ref="EL20:FM20"/>
    <mergeCell ref="CT21:CU21"/>
    <mergeCell ref="CV21:CZ21"/>
    <mergeCell ref="DA21:DB21"/>
    <mergeCell ref="DC21:DG21"/>
    <mergeCell ref="DJ21:DK21"/>
    <mergeCell ref="EL21:FM21"/>
    <mergeCell ref="EX22:EX23"/>
    <mergeCell ref="CO23:CQ23"/>
    <mergeCell ref="CU23:CY23"/>
    <mergeCell ref="DC23:DL23"/>
    <mergeCell ref="DP23:DV23"/>
    <mergeCell ref="DY23:EE23"/>
    <mergeCell ref="EM23:EW23"/>
    <mergeCell ref="DW22:DX23"/>
    <mergeCell ref="DY22:EE22"/>
    <mergeCell ref="EF22:EF23"/>
    <mergeCell ref="EJ22:EJ23"/>
    <mergeCell ref="EK22:EL23"/>
    <mergeCell ref="EM22:EQ22"/>
    <mergeCell ref="CZ22:CZ23"/>
    <mergeCell ref="DA22:DB23"/>
    <mergeCell ref="DC22:DL22"/>
    <mergeCell ref="DM22:DM23"/>
    <mergeCell ref="DN22:DO23"/>
    <mergeCell ref="DP22:DV22"/>
    <mergeCell ref="CR24:CR25"/>
    <mergeCell ref="CS24:CT25"/>
    <mergeCell ref="CU24:CX24"/>
    <mergeCell ref="CY24:CZ25"/>
    <mergeCell ref="DA24:DD24"/>
    <mergeCell ref="DE24:DE25"/>
    <mergeCell ref="CU25:CX25"/>
    <mergeCell ref="DA25:DD25"/>
    <mergeCell ref="ET22:EW22"/>
    <mergeCell ref="DY24:DZ25"/>
    <mergeCell ref="EA24:EB25"/>
    <mergeCell ref="EC24:EC25"/>
    <mergeCell ref="DF24:DF25"/>
    <mergeCell ref="DG24:DH25"/>
    <mergeCell ref="DI24:DL25"/>
    <mergeCell ref="DM24:DN25"/>
    <mergeCell ref="DO24:DR25"/>
    <mergeCell ref="DS24:DS25"/>
    <mergeCell ref="HF24:HH24"/>
    <mergeCell ref="HI24:HK24"/>
    <mergeCell ref="HL24:HN24"/>
    <mergeCell ref="GE24:GG24"/>
    <mergeCell ref="GH24:GJ24"/>
    <mergeCell ref="GK24:GM24"/>
    <mergeCell ref="GN24:GP24"/>
    <mergeCell ref="GQ24:GS24"/>
    <mergeCell ref="GT24:GV24"/>
    <mergeCell ref="DC26:DD26"/>
    <mergeCell ref="DE26:DR26"/>
    <mergeCell ref="CT27:CU27"/>
    <mergeCell ref="CV27:CZ27"/>
    <mergeCell ref="DC27:DG27"/>
    <mergeCell ref="EN29:EQ29"/>
    <mergeCell ref="GW24:GY24"/>
    <mergeCell ref="GZ24:HB24"/>
    <mergeCell ref="HC24:HE24"/>
    <mergeCell ref="EX24:EX25"/>
    <mergeCell ref="EY24:EY25"/>
    <mergeCell ref="EZ24:FF25"/>
    <mergeCell ref="FV24:FX24"/>
    <mergeCell ref="FY24:GA24"/>
    <mergeCell ref="GB24:GD24"/>
    <mergeCell ref="EK24:EK25"/>
    <mergeCell ref="EL24:EM25"/>
    <mergeCell ref="EN24:EQ25"/>
    <mergeCell ref="ER24:ER25"/>
    <mergeCell ref="ES24:ES25"/>
    <mergeCell ref="ET24:EW25"/>
    <mergeCell ref="DT24:DT25"/>
    <mergeCell ref="DU24:DV25"/>
    <mergeCell ref="DW24:DX25"/>
    <mergeCell ref="ES29:EW29"/>
    <mergeCell ref="AJ30:AM30"/>
    <mergeCell ref="AW30:AX31"/>
    <mergeCell ref="AY30:BD30"/>
    <mergeCell ref="BE30:BE31"/>
    <mergeCell ref="BF30:BQ30"/>
    <mergeCell ref="BR30:BR31"/>
    <mergeCell ref="BS30:CC30"/>
    <mergeCell ref="CD30:CD31"/>
    <mergeCell ref="CE30:CL30"/>
    <mergeCell ref="CN31:CQ31"/>
    <mergeCell ref="DB30:DB31"/>
    <mergeCell ref="DC30:DF31"/>
    <mergeCell ref="DG30:DG31"/>
    <mergeCell ref="DH30:DI31"/>
    <mergeCell ref="DJ30:DJ31"/>
    <mergeCell ref="DK30:DL31"/>
    <mergeCell ref="CM30:CM31"/>
    <mergeCell ref="CN30:CQ30"/>
    <mergeCell ref="CR30:CR31"/>
    <mergeCell ref="CS30:CV30"/>
    <mergeCell ref="CW30:CW31"/>
    <mergeCell ref="CX30:DA31"/>
    <mergeCell ref="CS31:CV31"/>
    <mergeCell ref="AY32:BD32"/>
    <mergeCell ref="BE32:BE33"/>
    <mergeCell ref="BF32:BQ32"/>
    <mergeCell ref="BR32:BR33"/>
    <mergeCell ref="AJ31:AM31"/>
    <mergeCell ref="AY31:BD31"/>
    <mergeCell ref="BF31:BQ31"/>
    <mergeCell ref="BS31:CC31"/>
    <mergeCell ref="CE31:CL31"/>
    <mergeCell ref="DE32:DF33"/>
    <mergeCell ref="DG32:DG33"/>
    <mergeCell ref="DH32:DI33"/>
    <mergeCell ref="AJ33:AM33"/>
    <mergeCell ref="AY33:BD33"/>
    <mergeCell ref="BF33:BQ33"/>
    <mergeCell ref="BS33:BZ33"/>
    <mergeCell ref="CB33:CI33"/>
    <mergeCell ref="CK33:CN33"/>
    <mergeCell ref="CP33:CS33"/>
    <mergeCell ref="CP32:CS32"/>
    <mergeCell ref="CT32:CT33"/>
    <mergeCell ref="CU32:CX33"/>
    <mergeCell ref="CY32:CY33"/>
    <mergeCell ref="CZ32:DC33"/>
    <mergeCell ref="DD32:DD33"/>
    <mergeCell ref="BS32:BZ32"/>
    <mergeCell ref="CA32:CA33"/>
    <mergeCell ref="CB32:CH32"/>
    <mergeCell ref="CJ32:CJ33"/>
    <mergeCell ref="CK32:CN32"/>
    <mergeCell ref="CO32:CO33"/>
    <mergeCell ref="AJ32:AM32"/>
    <mergeCell ref="AW32:AX33"/>
    <mergeCell ref="B35:C35"/>
    <mergeCell ref="AJ35:AM35"/>
    <mergeCell ref="AY35:BD35"/>
    <mergeCell ref="BF35:BQ35"/>
    <mergeCell ref="BS35:CG35"/>
    <mergeCell ref="DD34:DG34"/>
    <mergeCell ref="DH34:DH35"/>
    <mergeCell ref="DI34:DL34"/>
    <mergeCell ref="DM34:DM35"/>
    <mergeCell ref="DD35:DG35"/>
    <mergeCell ref="DI35:DL35"/>
    <mergeCell ref="BS34:CG34"/>
    <mergeCell ref="CH34:CH35"/>
    <mergeCell ref="CI34:CS34"/>
    <mergeCell ref="CT34:CT35"/>
    <mergeCell ref="CU34:DB34"/>
    <mergeCell ref="DC34:DC35"/>
    <mergeCell ref="CI35:CS35"/>
    <mergeCell ref="CU35:DB35"/>
    <mergeCell ref="AJ34:AM34"/>
    <mergeCell ref="AW34:AX35"/>
    <mergeCell ref="AY34:BD34"/>
    <mergeCell ref="BE34:BE35"/>
    <mergeCell ref="BF34:BQ34"/>
    <mergeCell ref="DS34:DV35"/>
    <mergeCell ref="DW34:DW35"/>
    <mergeCell ref="DX34:DY35"/>
    <mergeCell ref="DZ34:DZ35"/>
    <mergeCell ref="EA34:EB35"/>
    <mergeCell ref="DN34:DQ35"/>
    <mergeCell ref="DR34:DR35"/>
    <mergeCell ref="BR34:BR35"/>
    <mergeCell ref="DA36:DB37"/>
    <mergeCell ref="DC36:DC37"/>
    <mergeCell ref="DD36:DE37"/>
    <mergeCell ref="CQ36:CT37"/>
    <mergeCell ref="CU36:CU37"/>
    <mergeCell ref="CV36:CY37"/>
    <mergeCell ref="CZ36:CZ37"/>
    <mergeCell ref="AJ37:AM37"/>
    <mergeCell ref="AY37:BD37"/>
    <mergeCell ref="BF37:BM37"/>
    <mergeCell ref="BO37:BV37"/>
    <mergeCell ref="BX37:CE37"/>
    <mergeCell ref="CG37:CJ37"/>
    <mergeCell ref="CL37:CO37"/>
    <mergeCell ref="CL36:CO36"/>
    <mergeCell ref="CP36:CP37"/>
    <mergeCell ref="BO36:BV36"/>
    <mergeCell ref="BW36:BW37"/>
    <mergeCell ref="BX36:CE36"/>
    <mergeCell ref="CF36:CF37"/>
    <mergeCell ref="CG36:CJ36"/>
    <mergeCell ref="CK36:CK37"/>
    <mergeCell ref="AJ36:AM36"/>
    <mergeCell ref="AW36:AX37"/>
    <mergeCell ref="AY36:BD36"/>
    <mergeCell ref="BE36:BE37"/>
    <mergeCell ref="BF36:BM36"/>
    <mergeCell ref="BN36:BN37"/>
    <mergeCell ref="BM38:BM39"/>
    <mergeCell ref="BN38:BQ38"/>
    <mergeCell ref="BR38:BR39"/>
    <mergeCell ref="AJ38:AM38"/>
    <mergeCell ref="AW38:AX39"/>
    <mergeCell ref="AY38:AZ39"/>
    <mergeCell ref="BA38:BB39"/>
    <mergeCell ref="BC38:BH38"/>
    <mergeCell ref="BI38:BI39"/>
    <mergeCell ref="CU38:CV39"/>
    <mergeCell ref="CW38:CW39"/>
    <mergeCell ref="CX38:CY39"/>
    <mergeCell ref="AJ39:AM39"/>
    <mergeCell ref="AP39:AS39"/>
    <mergeCell ref="BC39:BH39"/>
    <mergeCell ref="BN39:BQ39"/>
    <mergeCell ref="BW39:CB39"/>
    <mergeCell ref="CD39:CI39"/>
    <mergeCell ref="CD38:CI38"/>
    <mergeCell ref="CJ38:CJ39"/>
    <mergeCell ref="CK38:CN39"/>
    <mergeCell ref="CO38:CO39"/>
    <mergeCell ref="CP38:CS39"/>
    <mergeCell ref="CT38:CT39"/>
    <mergeCell ref="BS38:BS39"/>
    <mergeCell ref="BT38:BT39"/>
    <mergeCell ref="BU38:BU39"/>
    <mergeCell ref="BV38:BV39"/>
    <mergeCell ref="BW38:CB38"/>
    <mergeCell ref="CC38:CC39"/>
    <mergeCell ref="BJ38:BJ39"/>
    <mergeCell ref="BK38:BK39"/>
    <mergeCell ref="BL38:BL39"/>
    <mergeCell ref="BF40:BF41"/>
    <mergeCell ref="BG40:BI40"/>
    <mergeCell ref="BJ40:BJ41"/>
    <mergeCell ref="BK40:BN41"/>
    <mergeCell ref="AJ40:AM40"/>
    <mergeCell ref="AP40:AS40"/>
    <mergeCell ref="AW40:AX41"/>
    <mergeCell ref="AY40:AY41"/>
    <mergeCell ref="AZ40:AZ41"/>
    <mergeCell ref="BA40:BC40"/>
    <mergeCell ref="DL40:DL41"/>
    <mergeCell ref="BA41:BC41"/>
    <mergeCell ref="BG41:BI41"/>
    <mergeCell ref="BU41:BY41"/>
    <mergeCell ref="CS41:CV41"/>
    <mergeCell ref="CW41:CW42"/>
    <mergeCell ref="CX41:DF41"/>
    <mergeCell ref="BH42:BK43"/>
    <mergeCell ref="BL42:BL43"/>
    <mergeCell ref="BM42:BN43"/>
    <mergeCell ref="CE40:CE41"/>
    <mergeCell ref="CF40:CI41"/>
    <mergeCell ref="CJ40:CJ41"/>
    <mergeCell ref="CK40:CL41"/>
    <mergeCell ref="CM40:CM41"/>
    <mergeCell ref="CN40:CO41"/>
    <mergeCell ref="BO40:BO41"/>
    <mergeCell ref="BP40:BS41"/>
    <mergeCell ref="BT40:BT41"/>
    <mergeCell ref="BU40:BY40"/>
    <mergeCell ref="BZ40:BZ41"/>
    <mergeCell ref="CA40:CD41"/>
    <mergeCell ref="BD40:BD41"/>
    <mergeCell ref="BE40:BE41"/>
    <mergeCell ref="BO42:BO43"/>
    <mergeCell ref="BP42:BQ43"/>
    <mergeCell ref="CS42:CV42"/>
    <mergeCell ref="AJ43:AM43"/>
    <mergeCell ref="AW44:AX45"/>
    <mergeCell ref="AY44:BF44"/>
    <mergeCell ref="BG44:BG45"/>
    <mergeCell ref="BH44:BV44"/>
    <mergeCell ref="BW44:BW45"/>
    <mergeCell ref="AJ45:AM45"/>
    <mergeCell ref="AJ42:AM42"/>
    <mergeCell ref="AW42:AX43"/>
    <mergeCell ref="AY42:BA43"/>
    <mergeCell ref="BB42:BB43"/>
    <mergeCell ref="BC42:BF43"/>
    <mergeCell ref="BG42:BG43"/>
    <mergeCell ref="CQ46:CQ47"/>
    <mergeCell ref="AJ47:AM47"/>
    <mergeCell ref="AP47:AS47"/>
    <mergeCell ref="BH47:BN47"/>
    <mergeCell ref="BX47:CL47"/>
    <mergeCell ref="CR47:DF47"/>
    <mergeCell ref="AP45:AS45"/>
    <mergeCell ref="AY45:BF45"/>
    <mergeCell ref="BH45:BV45"/>
    <mergeCell ref="BX45:CL45"/>
    <mergeCell ref="AJ46:AM46"/>
    <mergeCell ref="AP46:AS46"/>
    <mergeCell ref="BG46:BG47"/>
    <mergeCell ref="BH46:BN46"/>
    <mergeCell ref="BW46:BW47"/>
    <mergeCell ref="BX48:CD48"/>
    <mergeCell ref="CQ48:CQ49"/>
    <mergeCell ref="CR48:CZ48"/>
    <mergeCell ref="BY49:CD49"/>
    <mergeCell ref="CR49:CZ49"/>
    <mergeCell ref="AW50:AX51"/>
    <mergeCell ref="AY50:BB51"/>
    <mergeCell ref="BC50:BC51"/>
    <mergeCell ref="BD50:BN51"/>
    <mergeCell ref="BO50:BO51"/>
    <mergeCell ref="BB48:BF49"/>
    <mergeCell ref="BG48:BG49"/>
    <mergeCell ref="BH48:BK49"/>
    <mergeCell ref="BL48:BL49"/>
    <mergeCell ref="BM48:BP49"/>
    <mergeCell ref="BW48:BW49"/>
    <mergeCell ref="BP50:BT51"/>
    <mergeCell ref="BU50:BU51"/>
    <mergeCell ref="BV50:CA51"/>
    <mergeCell ref="CB50:CB51"/>
    <mergeCell ref="CC50:CF51"/>
    <mergeCell ref="AW54:AX55"/>
    <mergeCell ref="AY54:AY55"/>
    <mergeCell ref="BS54:BS55"/>
    <mergeCell ref="AZ55:BN55"/>
    <mergeCell ref="BT55:CH55"/>
    <mergeCell ref="AZ58:BD59"/>
    <mergeCell ref="BE58:BE59"/>
    <mergeCell ref="BF58:BJ59"/>
    <mergeCell ref="AY60:AY61"/>
    <mergeCell ref="AY56:AY57"/>
    <mergeCell ref="AZ56:BO56"/>
    <mergeCell ref="BS56:BS57"/>
    <mergeCell ref="BT56:CK56"/>
    <mergeCell ref="BC57:BM57"/>
    <mergeCell ref="BV57:CG57"/>
    <mergeCell ref="I78:L78"/>
    <mergeCell ref="O65:P65"/>
    <mergeCell ref="I67:L67"/>
    <mergeCell ref="I68:L68"/>
    <mergeCell ref="I70:M70"/>
    <mergeCell ref="I72:L72"/>
    <mergeCell ref="I76:L76"/>
    <mergeCell ref="AU58:AX59"/>
    <mergeCell ref="AY58:AY59"/>
  </mergeCells>
  <phoneticPr fontId="1"/>
  <pageMargins left="0.21" right="0.2" top="0.3" bottom="0.34" header="0.23" footer="0.16"/>
  <pageSetup paperSize="9" scale="50" orientation="landscape" horizontalDpi="4294967293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C516FE-8F98-42E3-9DA2-457791E32B35}">
  <sheetPr>
    <tabColor rgb="FFFFFF00"/>
  </sheetPr>
  <dimension ref="C4:C10"/>
  <sheetViews>
    <sheetView workbookViewId="0">
      <selection activeCell="E23" sqref="E23"/>
    </sheetView>
  </sheetViews>
  <sheetFormatPr defaultRowHeight="13.5"/>
  <cols>
    <col min="3" max="3" width="12.75" bestFit="1" customWidth="1"/>
  </cols>
  <sheetData>
    <row r="4" spans="3:3">
      <c r="C4">
        <f>1.26*10^(-6)*247*10^(-6)*5670*10^(-9)/(11*10^(-6)*5670*10^(-9)+1.26*10^(-6)*247*10^(-6))</f>
        <v>4.7234064080944356E-6</v>
      </c>
    </row>
    <row r="10" spans="3:3">
      <c r="C10">
        <f>150*150*4.72341*10^(-6)</f>
        <v>0.106276725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RIAA 理想特性</vt:lpstr>
      <vt:lpstr>RIAA コイル抵抗考慮</vt:lpstr>
      <vt:lpstr>RIAA 追込み特性1.72</vt:lpstr>
      <vt:lpstr>Sheet2</vt:lpstr>
    </vt:vector>
  </TitlesOfParts>
  <Company>ＨＯＮＤＡ ＩＣＶＳ Ｓｉｎｇａｐｏｒｅ Ｐｔｅ Ｌｔｄ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国分　守</dc:creator>
  <cp:lastModifiedBy>MAMORU KOKUBU (國分 守)</cp:lastModifiedBy>
  <cp:lastPrinted>2022-09-04T11:55:51Z</cp:lastPrinted>
  <dcterms:created xsi:type="dcterms:W3CDTF">2006-03-30T13:22:09Z</dcterms:created>
  <dcterms:modified xsi:type="dcterms:W3CDTF">2025-05-27T06:53:25Z</dcterms:modified>
</cp:coreProperties>
</file>